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6405" activeTab="0"/>
  </bookViews>
  <sheets>
    <sheet name="Grundgeb., EK, Cont.14Tage" sheetId="1" r:id="rId1"/>
  </sheets>
  <definedNames>
    <definedName name="_xlnm.Print_Area" localSheetId="0">'Grundgeb., EK, Cont.14Tage'!$A$1:$H$208</definedName>
    <definedName name="_xlnm.Print_Titles" localSheetId="0">'Grundgeb., EK, Cont.14Tage'!$2:$4</definedName>
  </definedNames>
  <calcPr fullCalcOnLoad="1"/>
</workbook>
</file>

<file path=xl/comments1.xml><?xml version="1.0" encoding="utf-8"?>
<comments xmlns="http://schemas.openxmlformats.org/spreadsheetml/2006/main">
  <authors>
    <author>Frank Noll</author>
    <author>inhestern</author>
  </authors>
  <commentList>
    <comment ref="D88" authorId="0">
      <text>
        <r>
          <rPr>
            <b/>
            <sz val="8"/>
            <rFont val="Tahoma"/>
            <family val="0"/>
          </rPr>
          <t xml:space="preserve">kl. Restmüllgefäße
+ Container
+ Sperrmüll
</t>
        </r>
        <r>
          <rPr>
            <b/>
            <u val="single"/>
            <sz val="8"/>
            <rFont val="Tahoma"/>
            <family val="2"/>
          </rPr>
          <t/>
        </r>
      </text>
    </comment>
    <comment ref="D97" authorId="0">
      <text>
        <r>
          <rPr>
            <b/>
            <sz val="8"/>
            <rFont val="Tahoma"/>
            <family val="0"/>
          </rPr>
          <t xml:space="preserve">Bioabfälle und Grünabfälle
</t>
        </r>
        <r>
          <rPr>
            <b/>
            <u val="single"/>
            <sz val="8"/>
            <rFont val="Tahoma"/>
            <family val="2"/>
          </rPr>
          <t/>
        </r>
      </text>
    </comment>
    <comment ref="H74" authorId="0">
      <text>
        <r>
          <rPr>
            <b/>
            <sz val="8"/>
            <rFont val="Tahoma"/>
            <family val="0"/>
          </rPr>
          <t>caritative Sammlungen
240 l-Papiergefäße</t>
        </r>
      </text>
    </comment>
    <comment ref="G73" authorId="0">
      <text>
        <r>
          <rPr>
            <b/>
            <sz val="8"/>
            <rFont val="Tahoma"/>
            <family val="0"/>
          </rPr>
          <t>240 l-Papiergefäße
caritative Sammlungen
variable Transportkosten
Grundgebühr Transportkosten</t>
        </r>
      </text>
    </comment>
    <comment ref="G148" authorId="1">
      <text>
        <r>
          <rPr>
            <b/>
            <sz val="8"/>
            <rFont val="Tahoma"/>
            <family val="0"/>
          </rPr>
          <t>inhestern:
Übertrag ist nicht in Summenformel enthalten.</t>
        </r>
      </text>
    </comment>
    <comment ref="H148" authorId="1">
      <text>
        <r>
          <rPr>
            <b/>
            <sz val="8"/>
            <rFont val="Tahoma"/>
            <family val="0"/>
          </rPr>
          <t>inhestern:
Übertrag ist nicht in Summenformel enthalten.</t>
        </r>
      </text>
    </comment>
    <comment ref="G173" authorId="1">
      <text>
        <r>
          <rPr>
            <b/>
            <sz val="8"/>
            <rFont val="Tahoma"/>
            <family val="0"/>
          </rPr>
          <t>inhestern:</t>
        </r>
        <r>
          <rPr>
            <sz val="8"/>
            <rFont val="Tahoma"/>
            <family val="0"/>
          </rPr>
          <t xml:space="preserve">
Formel ohne Übertrag Zwischensumme</t>
        </r>
      </text>
    </comment>
    <comment ref="H173" authorId="1">
      <text>
        <r>
          <rPr>
            <b/>
            <sz val="8"/>
            <rFont val="Tahoma"/>
            <family val="0"/>
          </rPr>
          <t>inhestern:</t>
        </r>
        <r>
          <rPr>
            <sz val="8"/>
            <rFont val="Tahoma"/>
            <family val="0"/>
          </rPr>
          <t xml:space="preserve">
Formel ohne Übertrag Zwischensumme</t>
        </r>
      </text>
    </comment>
    <comment ref="B7" authorId="1">
      <text>
        <r>
          <rPr>
            <b/>
            <sz val="8"/>
            <rFont val="Tahoma"/>
            <family val="0"/>
          </rPr>
          <t>inhestern:</t>
        </r>
        <r>
          <rPr>
            <sz val="8"/>
            <rFont val="Tahoma"/>
            <family val="0"/>
          </rPr>
          <t xml:space="preserve">
Pauschale Berücksichtigung von 50 Gefäßen wegen Einführung Gewerbeabfallverordnung</t>
        </r>
      </text>
    </comment>
  </commentList>
</comments>
</file>

<file path=xl/sharedStrings.xml><?xml version="1.0" encoding="utf-8"?>
<sst xmlns="http://schemas.openxmlformats.org/spreadsheetml/2006/main" count="235" uniqueCount="173">
  <si>
    <t>Kalkulation der Abfallgebühren 2003</t>
  </si>
  <si>
    <t>Kostenstellen</t>
  </si>
  <si>
    <t>Kosten/Erlöse</t>
  </si>
  <si>
    <t>A</t>
  </si>
  <si>
    <t>B</t>
  </si>
  <si>
    <t>Innenbereich</t>
  </si>
  <si>
    <t>Außenbereich</t>
  </si>
  <si>
    <t>1.</t>
  </si>
  <si>
    <t>Gefäßvolumen</t>
  </si>
  <si>
    <t>a)</t>
  </si>
  <si>
    <t>b)</t>
  </si>
  <si>
    <t>2.</t>
  </si>
  <si>
    <t>Kosten</t>
  </si>
  <si>
    <t>2.1.</t>
  </si>
  <si>
    <t>Unternehmerkosten</t>
  </si>
  <si>
    <t>Umrechnung der Unternehmerkosten:</t>
  </si>
  <si>
    <t>80 l, 120 l, 240 l</t>
  </si>
  <si>
    <t>Innen</t>
  </si>
  <si>
    <t>Außen</t>
  </si>
  <si>
    <t>Anzahl der Restabfallgefäße</t>
  </si>
  <si>
    <t>aus-</t>
  </si>
  <si>
    <t>EUR</t>
  </si>
  <si>
    <t>blen-</t>
  </si>
  <si>
    <t>für Restabfallgefäße</t>
  </si>
  <si>
    <t>den!</t>
  </si>
  <si>
    <t>x Anzahl der Gefäße =</t>
  </si>
  <si>
    <t>Summe (Innen- + Außenbereich) =</t>
  </si>
  <si>
    <t>: Anzahl der Gefäße (Innen- u. Außenb.)</t>
  </si>
  <si>
    <t>Unternehmerkosten je Gefäß</t>
  </si>
  <si>
    <t>Restmüllgefäße Innenbereich</t>
  </si>
  <si>
    <t>l-Gefäße</t>
  </si>
  <si>
    <t>Summe Unternehmerkosten Restmüllgefäße im Innenbereich</t>
  </si>
  <si>
    <t>Restmüllgefäße Außenbereich</t>
  </si>
  <si>
    <t>Summe Unternehmerkosten Restmüllgefäße im Außenbereich</t>
  </si>
  <si>
    <t>c)</t>
  </si>
  <si>
    <t>Nachlass Sperrgutabfuhr</t>
  </si>
  <si>
    <t>Ab 2003 wird das Sperrgut durch die Bürger beim Wertstoffhof</t>
  </si>
  <si>
    <t>angeliefert. Es entfällt somit die Sperrmüllabfuhr als Straßen-</t>
  </si>
  <si>
    <t>sammlung auf Abruf. Der Unternehmer gewährt deshalb einen</t>
  </si>
  <si>
    <t>einen Nachlass.</t>
  </si>
  <si>
    <t>Nachlass =</t>
  </si>
  <si>
    <t>Dieser Betrag wird anhand der Unternehmerkosten für</t>
  </si>
  <si>
    <t>Restmüllgefäße auf den Innen- und Außenbereich aufgeteilt.</t>
  </si>
  <si>
    <t>Anteil Innenbereich</t>
  </si>
  <si>
    <t>Anteil Außenbereich</t>
  </si>
  <si>
    <t>d)</t>
  </si>
  <si>
    <t>Bioabfallgefäße</t>
  </si>
  <si>
    <t>Summe Unternehmerkosten Bioabfallgefäße</t>
  </si>
  <si>
    <t>e)</t>
  </si>
  <si>
    <t>Sonstige Unternehmerkosten/Leistungen des Baubetriebshofes</t>
  </si>
  <si>
    <t>Folgende Kosten werden nach dem Volumen der Restmüllgefäße</t>
  </si>
  <si>
    <t>auf den Innen- und Außenbereich aufgeteilt:</t>
  </si>
  <si>
    <t>Wertstoffhof</t>
  </si>
  <si>
    <t>Schadstoffmobil</t>
  </si>
  <si>
    <t>Beseitigung von "wilden Müllkippen"</t>
  </si>
  <si>
    <t>Unterhaltung Wertstoffsammelstellen</t>
  </si>
  <si>
    <t>Die Entleerung der Straßenpapierkörbe wurde mit der</t>
  </si>
  <si>
    <t>Straßenreinigung zum 01.04.2003 neu ausgeschrieben.</t>
  </si>
  <si>
    <t>Baubetriebshof, 01.01. bis 31.03.03</t>
  </si>
  <si>
    <t>Unternehmer, 01.04. bis 31.12.03</t>
  </si>
  <si>
    <t>Anteil Innenbereich (siehe Ziffer 1. a)</t>
  </si>
  <si>
    <t>Anteil Außenbereich (siehe Ziffer 1. b)</t>
  </si>
  <si>
    <t>Dagegen können die Aufwendungen für die Papiersammlung</t>
  </si>
  <si>
    <t>direkt den Kostenstellen zugeordnet werden. Sie betragen</t>
  </si>
  <si>
    <t>im Innenbereich</t>
  </si>
  <si>
    <t>und im Außenbereich</t>
  </si>
  <si>
    <t>2.2.</t>
  </si>
  <si>
    <t>Entsorgungsgebühren an den Kreis Coesfeld</t>
  </si>
  <si>
    <t>für Restmüll (ohne Sperrgutabfuhr)</t>
  </si>
  <si>
    <t>Der Kreis Coesfeld erhebt für die Inanspruchnahme der Deponie</t>
  </si>
  <si>
    <t>eine Grund- und eine Zusatzgebühr.</t>
  </si>
  <si>
    <t>Grundgebühr:</t>
  </si>
  <si>
    <t>Die Jahresgrundgebühr wird durch den Kreis Coesfeld anhand der</t>
  </si>
  <si>
    <t>Gefäßzahlen zum 01.07.2002 ermittelt.</t>
  </si>
  <si>
    <t>80 u. 120 l-Gefäße</t>
  </si>
  <si>
    <t>240 l-Gefäße</t>
  </si>
  <si>
    <t>1,1 m³-Container</t>
  </si>
  <si>
    <t>Die Grundgebühr beträgt für das Jahr 2003</t>
  </si>
  <si>
    <t>Zusatzgebühr:</t>
  </si>
  <si>
    <t>Maßstab für die Zusatzgebühr ist das Gewicht der</t>
  </si>
  <si>
    <t>anzuliefernden Mengen:</t>
  </si>
  <si>
    <t>Deponiegebühren für Restmüll insgesamt =</t>
  </si>
  <si>
    <t>Die Deponiegebühren für Restmüll werden nach dem Volumen der</t>
  </si>
  <si>
    <t>für Bioabfall einschl. Grünabfuhr</t>
  </si>
  <si>
    <t>Die Deponiegebühren für Bioabfall werden direkt dem Innenbereich</t>
  </si>
  <si>
    <t>zugeordnet, da sie auch nur dort anfallen.</t>
  </si>
  <si>
    <t>für Anlieferungen beim Wertstoffhof und sonstige Sammlungen</t>
  </si>
  <si>
    <t>Sperrmüll</t>
  </si>
  <si>
    <t>Kühlgeräte</t>
  </si>
  <si>
    <t>Altholz</t>
  </si>
  <si>
    <t>Elektro-Schrott</t>
  </si>
  <si>
    <t>Teppiche/Teppichböden</t>
  </si>
  <si>
    <t>Berücksichtigung der bisher kostenpflichtigen Privatanlieferungen</t>
  </si>
  <si>
    <t>an der Abfalldeponie. Diese Mengen werden nun am</t>
  </si>
  <si>
    <t>Wertstoffhof angeliefert.</t>
  </si>
  <si>
    <t>01.01. bis 31.03.03</t>
  </si>
  <si>
    <t>01.04. bis 31.12.03</t>
  </si>
  <si>
    <t>Dieser Betrag wird ebenfalls nach dem Volumen der</t>
  </si>
  <si>
    <t>Die Aufwendungen für die Verwertung von Papier und Pappe</t>
  </si>
  <si>
    <t>können direkt den Kostenstellen zugeordnet werden.</t>
  </si>
  <si>
    <t>Sie betragen im Innenbereich</t>
  </si>
  <si>
    <t>im Außenbereich</t>
  </si>
  <si>
    <t>2.3.</t>
  </si>
  <si>
    <t>Personal- und Sachkosten</t>
  </si>
  <si>
    <t>Die Personal- und Sachkosten werden nach dem Verhältnis der</t>
  </si>
  <si>
    <t>Gefäße auf die beiden Kostenstellen aufgeschlüsselt.</t>
  </si>
  <si>
    <t>Personalkosten einschl. Abfallberatung</t>
  </si>
  <si>
    <t>Verwaltungsgemeinkosten</t>
  </si>
  <si>
    <t>Sachkosten</t>
  </si>
  <si>
    <t>Erstellung Abfallbroschüre</t>
  </si>
  <si>
    <t>Sonstige Geschäftsausgaben</t>
  </si>
  <si>
    <t>EDV-Kosten</t>
  </si>
  <si>
    <t>Kosten d. europaweiten Ausschreibung</t>
  </si>
  <si>
    <t>Vermischte Ausgaben</t>
  </si>
  <si>
    <t>3.</t>
  </si>
  <si>
    <t>Summe der ansatzfähigen Kosten</t>
  </si>
  <si>
    <t>4.</t>
  </si>
  <si>
    <t>Erlöse</t>
  </si>
  <si>
    <t>Hierbei handelt es sich um folgende Positionen:</t>
  </si>
  <si>
    <t>Erlöse aus der Papierverwertung</t>
  </si>
  <si>
    <t>Erstattung der DSD AG (netto)</t>
  </si>
  <si>
    <t>Vermischte Einnahmen</t>
  </si>
  <si>
    <t>Diese Erlöse werden nach dem Verhältnis der ansatzfähigen</t>
  </si>
  <si>
    <t>Kosten (siehe Ziffer 2) auf die beiden Kostenstellen aufgeschlüsselt.</t>
  </si>
  <si>
    <t>Anteil Innenbereich (Summe Ziffer 2)</t>
  </si>
  <si>
    <t>Anteil Außenbereich (Summe Ziffer 2)</t>
  </si>
  <si>
    <t>Zwischensumme (Ziffer 3 abzgl. Ziffer 4)</t>
  </si>
  <si>
    <t>Zwischensumme (Ziffer 3 abzgl. Ziffer 4) Übertrag</t>
  </si>
  <si>
    <t>5.</t>
  </si>
  <si>
    <t>Betriebsergebnis 2001</t>
  </si>
  <si>
    <t>Gebührenmindernde Anrechnung des Überschusses aus 2001.</t>
  </si>
  <si>
    <t>Der Gebührenüberschuss wird nach der Höhe der den</t>
  </si>
  <si>
    <t>Gebührenzahlern zuzuordnenden Kosten (Zwischen-</t>
  </si>
  <si>
    <t>summe bei Ziffer 4) umgelegt.</t>
  </si>
  <si>
    <t>von</t>
  </si>
  <si>
    <t>6.</t>
  </si>
  <si>
    <t>Gebührennachlass für Eigenkompostierer</t>
  </si>
  <si>
    <t>Dieser Nachlass wird nur den Eigenkompostierern im Innenbereich</t>
  </si>
  <si>
    <t>gewährt, da der Kostenstelle "Außenbereich" keine Kosten der</t>
  </si>
  <si>
    <t>Bioabfuhr zugeordnet sind.</t>
  </si>
  <si>
    <t>x</t>
  </si>
  <si>
    <t>=</t>
  </si>
  <si>
    <t>7.</t>
  </si>
  <si>
    <t>Grundgebühr</t>
  </si>
  <si>
    <t>Je Gefäß wird eine Grundgebühr von</t>
  </si>
  <si>
    <t>erhoben.</t>
  </si>
  <si>
    <t>Innenbereich (siehe Ziffer 1. a)</t>
  </si>
  <si>
    <t>Außenbereich (siehe Ziffer 1. b)</t>
  </si>
  <si>
    <t>8.</t>
  </si>
  <si>
    <t>Linear umzulegende Kosten</t>
  </si>
  <si>
    <t>Gefäßvolumen (siehe Ziffer 1.)</t>
  </si>
  <si>
    <t>9.</t>
  </si>
  <si>
    <t>Restmüllgebühr je Liter und Abfuhr</t>
  </si>
  <si>
    <t>10.</t>
  </si>
  <si>
    <t>Gefäßgebühren</t>
  </si>
  <si>
    <t>Zusatzgebühr</t>
  </si>
  <si>
    <t>Jahresgrundgebühr</t>
  </si>
  <si>
    <t>Übersicht über die Gebührensätze</t>
  </si>
  <si>
    <t></t>
  </si>
  <si>
    <t>80 l - Restmüllgefäß</t>
  </si>
  <si>
    <t>120 l - Restmüllgefäß</t>
  </si>
  <si>
    <t>240 l - Restmüllgefäß</t>
  </si>
  <si>
    <t>1,1 m³ - Container (14-tägliche Leerung)</t>
  </si>
  <si>
    <t>1,1 m³ - Container (wöchentliche Leerung)</t>
  </si>
  <si>
    <t>Kalkulation aufgestellt:</t>
  </si>
  <si>
    <t>Coesfeld, 22.11.2002</t>
  </si>
  <si>
    <t>Der Bürgermeister</t>
  </si>
  <si>
    <t>Fachbereich 20 / Finanzen und Controlling</t>
  </si>
  <si>
    <t>I. A.</t>
  </si>
  <si>
    <t xml:space="preserve"> </t>
  </si>
  <si>
    <t>gez. Inhestern</t>
  </si>
  <si>
    <r>
      <t xml:space="preserve">im </t>
    </r>
    <r>
      <rPr>
        <b/>
        <u val="single"/>
        <sz val="11"/>
        <rFont val="Arial"/>
        <family val="2"/>
      </rPr>
      <t>Innenbereich</t>
    </r>
  </si>
  <si>
    <r>
      <t xml:space="preserve">im </t>
    </r>
    <r>
      <rPr>
        <b/>
        <u val="single"/>
        <sz val="11"/>
        <rFont val="Arial"/>
        <family val="2"/>
      </rPr>
      <t>Außenbereich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</si>
</sst>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l&quot;"/>
    <numFmt numFmtId="173" formatCode="#,##0&quot; t&quot;"/>
    <numFmt numFmtId="174" formatCode="0&quot; Gefäße&quot;"/>
    <numFmt numFmtId="175" formatCode="&quot;à &quot;#,##0&quot; l&quot;"/>
    <numFmt numFmtId="176" formatCode="&quot;= &quot;#,##0&quot; l&quot;"/>
    <numFmt numFmtId="177" formatCode="&quot;x &quot;#,##0&quot; Abfuhren =&quot;"/>
    <numFmt numFmtId="178" formatCode="&quot;= &quot;0.00%"/>
    <numFmt numFmtId="179" formatCode="&quot;x &quot;#,##0.00\ &quot;DM&quot;&quot; =&quot;;&quot;x &quot;\-#,##0.00\ &quot;DM&quot;&quot; =&quot;"/>
    <numFmt numFmtId="180" formatCode="0.00%&quot; =&quot;"/>
    <numFmt numFmtId="181" formatCode="#,##0&quot; Gefäße&quot;"/>
    <numFmt numFmtId="182" formatCode="&quot;= &quot;0.00%&quot; =&quot;"/>
    <numFmt numFmtId="183" formatCode="&quot;rd. &quot;#,##0&quot; Fälle&quot;"/>
    <numFmt numFmtId="184" formatCode="#,##0.0000\ &quot;DM&quot;;\-#,##0.0000\ &quot;DM&quot;"/>
    <numFmt numFmtId="185" formatCode="#,##0.0000\ &quot;DM&quot;&quot;/l&quot;;\-#,##0.0000\ &quot;DM&quot;&quot;/l&quot;"/>
    <numFmt numFmtId="186" formatCode="&quot;+ &quot;#,##0.00\ &quot;DM&quot;&quot; =&quot;;&quot;+ &quot;\-#,##0.00\ &quot;DM&quot;&quot; =&quot;"/>
    <numFmt numFmtId="187" formatCode="&quot;x &quot;#,##0.00\ &quot;DM&quot;&quot;/t =&quot;;&quot;x &quot;\-#,##0.00\ &quot;DM&quot;&quot;/t =&quot;"/>
    <numFmt numFmtId="188" formatCode="#,##0&quot; Geräte&quot;"/>
    <numFmt numFmtId="189" formatCode="#,##0\ &quot;DM&quot;"/>
    <numFmt numFmtId="190" formatCode="#,##0.00\ \€;\-#,##0.00\ \€"/>
    <numFmt numFmtId="191" formatCode="\x\ #,##0.00\ \€\ \=;\x\ \-#,##0.00\ \€\ \="/>
    <numFmt numFmtId="192" formatCode="#,##0\ \€;\-#,##0\ \€"/>
    <numFmt numFmtId="193" formatCode="\x\ #,##0.00&quot; €/t =&quot;;\x\ \-#,##0.00&quot; €/t =&quot;"/>
    <numFmt numFmtId="194" formatCode="#,##0.0000&quot; €/l&quot;;\-#,##0.0000&quot; €/l&quot;"/>
    <numFmt numFmtId="195" formatCode="\+\ #,##0.00&quot; € =&quot;;\-\ #,##0.00&quot; € =&quot;"/>
    <numFmt numFmtId="196" formatCode="0.000"/>
    <numFmt numFmtId="197" formatCode="0.0000"/>
    <numFmt numFmtId="198" formatCode="0.00000"/>
    <numFmt numFmtId="199" formatCode="0.000000"/>
    <numFmt numFmtId="200" formatCode="0.0000000"/>
    <numFmt numFmtId="201" formatCode="#,##0\ &quot;€&quot;"/>
    <numFmt numFmtId="202" formatCode="#,##0\ &quot;€&quot;\ &quot;=&quot;"/>
    <numFmt numFmtId="203" formatCode="#,##0\ &quot;€&quot;&quot; =&quot;"/>
    <numFmt numFmtId="204" formatCode="#,##0.00\ &quot;€&quot;"/>
  </numFmts>
  <fonts count="17">
    <font>
      <sz val="10"/>
      <name val="Arial"/>
      <family val="0"/>
    </font>
    <font>
      <sz val="10"/>
      <name val="MS Sans Serif"/>
      <family val="0"/>
    </font>
    <font>
      <b/>
      <i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name val="Wingdings"/>
      <family val="0"/>
    </font>
    <font>
      <b/>
      <sz val="11"/>
      <name val="Arial"/>
      <family val="2"/>
    </font>
    <font>
      <b/>
      <sz val="8"/>
      <name val="Tahoma"/>
      <family val="0"/>
    </font>
    <font>
      <b/>
      <u val="single"/>
      <sz val="8"/>
      <name val="Tahoma"/>
      <family val="2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1" fillId="0" borderId="0">
      <alignment/>
      <protection/>
    </xf>
    <xf numFmtId="167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164" fontId="2" fillId="0" borderId="1" xfId="22" applyNumberFormat="1" applyFont="1" applyBorder="1" applyAlignment="1">
      <alignment horizontal="center" vertical="top"/>
      <protection/>
    </xf>
    <xf numFmtId="164" fontId="0" fillId="0" borderId="0" xfId="22" applyNumberFormat="1" applyFont="1">
      <alignment/>
      <protection/>
    </xf>
    <xf numFmtId="164" fontId="3" fillId="2" borderId="2" xfId="22" applyNumberFormat="1" applyFont="1" applyFill="1" applyBorder="1" applyAlignment="1">
      <alignment horizontal="centerContinuous"/>
      <protection/>
    </xf>
    <xf numFmtId="164" fontId="4" fillId="2" borderId="3" xfId="22" applyNumberFormat="1" applyFont="1" applyFill="1" applyBorder="1" applyAlignment="1">
      <alignment horizontal="centerContinuous"/>
      <protection/>
    </xf>
    <xf numFmtId="164" fontId="3" fillId="2" borderId="4" xfId="22" applyNumberFormat="1" applyFont="1" applyFill="1" applyBorder="1" applyAlignment="1">
      <alignment horizontal="centerContinuous" vertical="center"/>
      <protection/>
    </xf>
    <xf numFmtId="164" fontId="4" fillId="2" borderId="5" xfId="22" applyNumberFormat="1" applyFont="1" applyFill="1" applyBorder="1" applyAlignment="1">
      <alignment horizontal="centerContinuous" vertical="center"/>
      <protection/>
    </xf>
    <xf numFmtId="164" fontId="4" fillId="0" borderId="0" xfId="22" applyNumberFormat="1" applyFont="1">
      <alignment/>
      <protection/>
    </xf>
    <xf numFmtId="164" fontId="3" fillId="2" borderId="6" xfId="22" applyNumberFormat="1" applyFont="1" applyFill="1" applyBorder="1" applyAlignment="1">
      <alignment horizontal="centerContinuous"/>
      <protection/>
    </xf>
    <xf numFmtId="164" fontId="4" fillId="2" borderId="0" xfId="22" applyNumberFormat="1" applyFont="1" applyFill="1" applyBorder="1" applyAlignment="1">
      <alignment horizontal="centerContinuous"/>
      <protection/>
    </xf>
    <xf numFmtId="164" fontId="5" fillId="2" borderId="7" xfId="22" applyNumberFormat="1" applyFont="1" applyFill="1" applyBorder="1" applyAlignment="1">
      <alignment horizontal="centerContinuous" vertical="center"/>
      <protection/>
    </xf>
    <xf numFmtId="164" fontId="5" fillId="2" borderId="8" xfId="22" applyNumberFormat="1" applyFont="1" applyFill="1" applyBorder="1" applyAlignment="1">
      <alignment horizontal="centerContinuous" vertical="center"/>
      <protection/>
    </xf>
    <xf numFmtId="164" fontId="3" fillId="2" borderId="9" xfId="22" applyNumberFormat="1" applyFont="1" applyFill="1" applyBorder="1" applyAlignment="1">
      <alignment horizontal="centerContinuous" vertical="top"/>
      <protection/>
    </xf>
    <xf numFmtId="164" fontId="0" fillId="2" borderId="1" xfId="22" applyNumberFormat="1" applyFont="1" applyFill="1" applyBorder="1" applyAlignment="1">
      <alignment horizontal="centerContinuous"/>
      <protection/>
    </xf>
    <xf numFmtId="164" fontId="6" fillId="2" borderId="10" xfId="22" applyNumberFormat="1" applyFont="1" applyFill="1" applyBorder="1" applyAlignment="1">
      <alignment horizontal="center" vertical="center" wrapText="1"/>
      <protection/>
    </xf>
    <xf numFmtId="164" fontId="6" fillId="2" borderId="11" xfId="22" applyNumberFormat="1" applyFont="1" applyFill="1" applyBorder="1" applyAlignment="1">
      <alignment horizontal="center" vertical="center" wrapText="1"/>
      <protection/>
    </xf>
    <xf numFmtId="164" fontId="3" fillId="0" borderId="12" xfId="22" applyNumberFormat="1" applyFont="1" applyBorder="1" applyAlignment="1">
      <alignment horizontal="right"/>
      <protection/>
    </xf>
    <xf numFmtId="164" fontId="3" fillId="0" borderId="0" xfId="22" applyNumberFormat="1" applyFont="1">
      <alignment/>
      <protection/>
    </xf>
    <xf numFmtId="164" fontId="4" fillId="0" borderId="13" xfId="22" applyNumberFormat="1" applyFont="1" applyBorder="1">
      <alignment/>
      <protection/>
    </xf>
    <xf numFmtId="164" fontId="4" fillId="0" borderId="14" xfId="22" applyNumberFormat="1" applyFont="1" applyBorder="1">
      <alignment/>
      <protection/>
    </xf>
    <xf numFmtId="164" fontId="0" fillId="0" borderId="12" xfId="22" applyNumberFormat="1" applyFont="1" applyBorder="1" applyAlignment="1">
      <alignment horizontal="right"/>
      <protection/>
    </xf>
    <xf numFmtId="174" fontId="0" fillId="0" borderId="0" xfId="22" applyNumberFormat="1" applyFont="1">
      <alignment/>
      <protection/>
    </xf>
    <xf numFmtId="164" fontId="0" fillId="0" borderId="13" xfId="22" applyNumberFormat="1" applyFont="1" applyBorder="1">
      <alignment/>
      <protection/>
    </xf>
    <xf numFmtId="164" fontId="0" fillId="0" borderId="14" xfId="22" applyNumberFormat="1" applyFont="1" applyBorder="1">
      <alignment/>
      <protection/>
    </xf>
    <xf numFmtId="181" fontId="0" fillId="0" borderId="0" xfId="22" applyNumberFormat="1" applyFont="1" applyFill="1" applyAlignment="1">
      <alignment horizontal="right"/>
      <protection/>
    </xf>
    <xf numFmtId="175" fontId="0" fillId="0" borderId="0" xfId="22" applyNumberFormat="1" applyFont="1" applyAlignment="1">
      <alignment horizontal="right"/>
      <protection/>
    </xf>
    <xf numFmtId="176" fontId="0" fillId="0" borderId="0" xfId="22" applyNumberFormat="1" applyFont="1" applyAlignment="1">
      <alignment horizontal="right"/>
      <protection/>
    </xf>
    <xf numFmtId="177" fontId="0" fillId="0" borderId="0" xfId="22" applyNumberFormat="1" applyFont="1" applyAlignment="1">
      <alignment horizontal="right"/>
      <protection/>
    </xf>
    <xf numFmtId="172" fontId="0" fillId="0" borderId="13" xfId="22" applyNumberFormat="1" applyFont="1" applyBorder="1">
      <alignment/>
      <protection/>
    </xf>
    <xf numFmtId="172" fontId="0" fillId="0" borderId="14" xfId="22" applyNumberFormat="1" applyFont="1" applyBorder="1">
      <alignment/>
      <protection/>
    </xf>
    <xf numFmtId="181" fontId="0" fillId="0" borderId="15" xfId="22" applyNumberFormat="1" applyFont="1" applyFill="1" applyBorder="1" applyAlignment="1">
      <alignment horizontal="right"/>
      <protection/>
    </xf>
    <xf numFmtId="172" fontId="0" fillId="0" borderId="16" xfId="22" applyNumberFormat="1" applyFont="1" applyBorder="1">
      <alignment/>
      <protection/>
    </xf>
    <xf numFmtId="178" fontId="6" fillId="0" borderId="13" xfId="21" applyNumberFormat="1" applyFont="1" applyBorder="1" applyAlignment="1">
      <alignment/>
    </xf>
    <xf numFmtId="164" fontId="0" fillId="0" borderId="12" xfId="22" applyNumberFormat="1" applyFont="1" applyBorder="1">
      <alignment/>
      <protection/>
    </xf>
    <xf numFmtId="172" fontId="0" fillId="0" borderId="17" xfId="22" applyNumberFormat="1" applyFont="1" applyBorder="1">
      <alignment/>
      <protection/>
    </xf>
    <xf numFmtId="181" fontId="0" fillId="0" borderId="0" xfId="22" applyNumberFormat="1" applyFont="1" applyAlignment="1">
      <alignment horizontal="right"/>
      <protection/>
    </xf>
    <xf numFmtId="178" fontId="6" fillId="0" borderId="14" xfId="21" applyNumberFormat="1" applyFont="1" applyBorder="1" applyAlignment="1">
      <alignment/>
    </xf>
    <xf numFmtId="164" fontId="3" fillId="0" borderId="13" xfId="22" applyNumberFormat="1" applyFont="1" applyBorder="1">
      <alignment/>
      <protection/>
    </xf>
    <xf numFmtId="164" fontId="3" fillId="0" borderId="14" xfId="22" applyNumberFormat="1" applyFont="1" applyBorder="1">
      <alignment/>
      <protection/>
    </xf>
    <xf numFmtId="190" fontId="0" fillId="0" borderId="0" xfId="28" applyFont="1">
      <alignment/>
      <protection/>
    </xf>
    <xf numFmtId="0" fontId="0" fillId="3" borderId="12" xfId="22" applyFont="1" applyFill="1" applyBorder="1">
      <alignment/>
      <protection/>
    </xf>
    <xf numFmtId="0" fontId="0" fillId="3" borderId="0" xfId="22" applyFont="1" applyFill="1">
      <alignment/>
      <protection/>
    </xf>
    <xf numFmtId="0" fontId="0" fillId="3" borderId="18" xfId="22" applyFont="1" applyFill="1" applyBorder="1" applyAlignment="1">
      <alignment horizontal="centerContinuous"/>
      <protection/>
    </xf>
    <xf numFmtId="0" fontId="0" fillId="3" borderId="19" xfId="22" applyFont="1" applyFill="1" applyBorder="1" applyAlignment="1">
      <alignment horizontal="centerContinuous"/>
      <protection/>
    </xf>
    <xf numFmtId="164" fontId="0" fillId="3" borderId="13" xfId="22" applyNumberFormat="1" applyFont="1" applyFill="1" applyBorder="1">
      <alignment/>
      <protection/>
    </xf>
    <xf numFmtId="164" fontId="0" fillId="3" borderId="14" xfId="22" applyNumberFormat="1" applyFont="1" applyFill="1" applyBorder="1">
      <alignment/>
      <protection/>
    </xf>
    <xf numFmtId="164" fontId="0" fillId="3" borderId="12" xfId="22" applyNumberFormat="1" applyFont="1" applyFill="1" applyBorder="1">
      <alignment/>
      <protection/>
    </xf>
    <xf numFmtId="3" fontId="0" fillId="3" borderId="0" xfId="22" applyNumberFormat="1" applyFont="1" applyFill="1">
      <alignment/>
      <protection/>
    </xf>
    <xf numFmtId="164" fontId="0" fillId="3" borderId="0" xfId="22" applyNumberFormat="1" applyFont="1" applyFill="1">
      <alignment/>
      <protection/>
    </xf>
    <xf numFmtId="179" fontId="0" fillId="3" borderId="18" xfId="22" applyNumberFormat="1" applyFont="1" applyFill="1" applyBorder="1" applyAlignment="1">
      <alignment horizontal="center"/>
      <protection/>
    </xf>
    <xf numFmtId="164" fontId="0" fillId="3" borderId="19" xfId="22" applyNumberFormat="1" applyFont="1" applyFill="1" applyBorder="1" applyAlignment="1">
      <alignment horizontal="center"/>
      <protection/>
    </xf>
    <xf numFmtId="179" fontId="0" fillId="3" borderId="0" xfId="22" applyNumberFormat="1" applyFont="1" applyFill="1" applyAlignment="1">
      <alignment horizontal="right"/>
      <protection/>
    </xf>
    <xf numFmtId="164" fontId="0" fillId="3" borderId="0" xfId="22" applyNumberFormat="1" applyFont="1" applyFill="1" applyAlignment="1">
      <alignment horizontal="right"/>
      <protection/>
    </xf>
    <xf numFmtId="2" fontId="0" fillId="3" borderId="0" xfId="22" applyNumberFormat="1" applyFont="1" applyFill="1">
      <alignment/>
      <protection/>
    </xf>
    <xf numFmtId="3" fontId="0" fillId="3" borderId="15" xfId="22" applyNumberFormat="1" applyFont="1" applyFill="1" applyBorder="1">
      <alignment/>
      <protection/>
    </xf>
    <xf numFmtId="3" fontId="0" fillId="3" borderId="0" xfId="22" applyNumberFormat="1" applyFont="1" applyFill="1" applyAlignment="1">
      <alignment horizontal="centerContinuous"/>
      <protection/>
    </xf>
    <xf numFmtId="2" fontId="0" fillId="3" borderId="0" xfId="22" applyNumberFormat="1" applyFont="1" applyFill="1" applyAlignment="1">
      <alignment horizontal="centerContinuous"/>
      <protection/>
    </xf>
    <xf numFmtId="164" fontId="0" fillId="3" borderId="0" xfId="22" applyNumberFormat="1" applyFont="1" applyFill="1" applyAlignment="1">
      <alignment horizontal="centerContinuous"/>
      <protection/>
    </xf>
    <xf numFmtId="3" fontId="0" fillId="0" borderId="0" xfId="22" applyNumberFormat="1" applyFont="1">
      <alignment/>
      <protection/>
    </xf>
    <xf numFmtId="191" fontId="0" fillId="0" borderId="0" xfId="22" applyNumberFormat="1" applyFont="1" applyFill="1">
      <alignment/>
      <protection/>
    </xf>
    <xf numFmtId="192" fontId="0" fillId="0" borderId="0" xfId="28" applyNumberFormat="1" applyFont="1">
      <alignment/>
      <protection/>
    </xf>
    <xf numFmtId="179" fontId="0" fillId="0" borderId="0" xfId="22" applyNumberFormat="1" applyFont="1" applyFill="1">
      <alignment/>
      <protection/>
    </xf>
    <xf numFmtId="164" fontId="0" fillId="0" borderId="20" xfId="22" applyNumberFormat="1" applyFont="1" applyBorder="1">
      <alignment/>
      <protection/>
    </xf>
    <xf numFmtId="192" fontId="0" fillId="0" borderId="14" xfId="22" applyNumberFormat="1" applyFont="1" applyBorder="1">
      <alignment/>
      <protection/>
    </xf>
    <xf numFmtId="192" fontId="0" fillId="0" borderId="0" xfId="28" applyNumberFormat="1" applyFont="1" applyFill="1">
      <alignment/>
      <protection/>
    </xf>
    <xf numFmtId="182" fontId="0" fillId="0" borderId="0" xfId="22" applyNumberFormat="1" applyFont="1">
      <alignment/>
      <protection/>
    </xf>
    <xf numFmtId="192" fontId="0" fillId="0" borderId="21" xfId="28" applyNumberFormat="1" applyFont="1" applyBorder="1">
      <alignment/>
      <protection/>
    </xf>
    <xf numFmtId="5" fontId="0" fillId="0" borderId="14" xfId="22" applyNumberFormat="1" applyFont="1" applyBorder="1">
      <alignment/>
      <protection/>
    </xf>
    <xf numFmtId="3" fontId="0" fillId="0" borderId="0" xfId="22" applyNumberFormat="1" applyFont="1" applyFill="1">
      <alignment/>
      <protection/>
    </xf>
    <xf numFmtId="164" fontId="0" fillId="0" borderId="22" xfId="22" applyNumberFormat="1" applyFont="1" applyBorder="1">
      <alignment/>
      <protection/>
    </xf>
    <xf numFmtId="3" fontId="0" fillId="0" borderId="15" xfId="22" applyNumberFormat="1" applyFont="1" applyBorder="1">
      <alignment/>
      <protection/>
    </xf>
    <xf numFmtId="164" fontId="0" fillId="0" borderId="15" xfId="22" applyNumberFormat="1" applyFont="1" applyBorder="1">
      <alignment/>
      <protection/>
    </xf>
    <xf numFmtId="164" fontId="0" fillId="0" borderId="23" xfId="22" applyNumberFormat="1" applyFont="1" applyBorder="1">
      <alignment/>
      <protection/>
    </xf>
    <xf numFmtId="192" fontId="0" fillId="0" borderId="15" xfId="28" applyNumberFormat="1" applyFont="1" applyBorder="1">
      <alignment/>
      <protection/>
    </xf>
    <xf numFmtId="164" fontId="0" fillId="0" borderId="17" xfId="22" applyNumberFormat="1" applyFont="1" applyBorder="1">
      <alignment/>
      <protection/>
    </xf>
    <xf numFmtId="0" fontId="0" fillId="0" borderId="0" xfId="22" applyFont="1">
      <alignment/>
      <protection/>
    </xf>
    <xf numFmtId="173" fontId="0" fillId="0" borderId="0" xfId="22" applyNumberFormat="1" applyFont="1" applyFill="1" applyBorder="1">
      <alignment/>
      <protection/>
    </xf>
    <xf numFmtId="5" fontId="0" fillId="0" borderId="0" xfId="22" applyNumberFormat="1" applyFont="1" applyFill="1">
      <alignment/>
      <protection/>
    </xf>
    <xf numFmtId="192" fontId="0" fillId="0" borderId="0" xfId="22" applyNumberFormat="1" applyFont="1" applyFill="1">
      <alignment/>
      <protection/>
    </xf>
    <xf numFmtId="192" fontId="0" fillId="0" borderId="15" xfId="22" applyNumberFormat="1" applyFont="1" applyFill="1" applyBorder="1">
      <alignment/>
      <protection/>
    </xf>
    <xf numFmtId="192" fontId="0" fillId="0" borderId="0" xfId="22" applyNumberFormat="1" applyFont="1">
      <alignment/>
      <protection/>
    </xf>
    <xf numFmtId="164" fontId="0" fillId="0" borderId="0" xfId="22" applyNumberFormat="1" applyFont="1" applyBorder="1">
      <alignment/>
      <protection/>
    </xf>
    <xf numFmtId="180" fontId="0" fillId="0" borderId="20" xfId="22" applyNumberFormat="1" applyFont="1" applyBorder="1">
      <alignment/>
      <protection/>
    </xf>
    <xf numFmtId="180" fontId="0" fillId="0" borderId="0" xfId="22" applyNumberFormat="1" applyFont="1">
      <alignment/>
      <protection/>
    </xf>
    <xf numFmtId="164" fontId="0" fillId="0" borderId="14" xfId="22" applyNumberFormat="1" applyFont="1" applyFill="1" applyBorder="1">
      <alignment/>
      <protection/>
    </xf>
    <xf numFmtId="180" fontId="0" fillId="0" borderId="0" xfId="22" applyNumberFormat="1" applyFont="1" applyBorder="1">
      <alignment/>
      <protection/>
    </xf>
    <xf numFmtId="164" fontId="0" fillId="0" borderId="13" xfId="22" applyNumberFormat="1" applyFont="1" applyFill="1" applyBorder="1">
      <alignment/>
      <protection/>
    </xf>
    <xf numFmtId="192" fontId="0" fillId="0" borderId="14" xfId="22" applyNumberFormat="1" applyFont="1" applyFill="1" applyBorder="1">
      <alignment/>
      <protection/>
    </xf>
    <xf numFmtId="164" fontId="3" fillId="0" borderId="0" xfId="22" applyNumberFormat="1" applyFont="1" applyBorder="1">
      <alignment/>
      <protection/>
    </xf>
    <xf numFmtId="164" fontId="0" fillId="0" borderId="12" xfId="22" applyNumberFormat="1" applyFont="1" applyFill="1" applyBorder="1">
      <alignment/>
      <protection/>
    </xf>
    <xf numFmtId="0" fontId="0" fillId="0" borderId="0" xfId="22" applyFont="1" applyFill="1">
      <alignment/>
      <protection/>
    </xf>
    <xf numFmtId="164" fontId="0" fillId="0" borderId="0" xfId="22" applyNumberFormat="1" applyFont="1" applyFill="1">
      <alignment/>
      <protection/>
    </xf>
    <xf numFmtId="173" fontId="0" fillId="0" borderId="0" xfId="22" applyNumberFormat="1" applyFont="1" applyFill="1">
      <alignment/>
      <protection/>
    </xf>
    <xf numFmtId="193" fontId="0" fillId="0" borderId="0" xfId="22" applyNumberFormat="1" applyFont="1" applyFill="1">
      <alignment/>
      <protection/>
    </xf>
    <xf numFmtId="192" fontId="0" fillId="0" borderId="15" xfId="22" applyNumberFormat="1" applyFont="1" applyBorder="1">
      <alignment/>
      <protection/>
    </xf>
    <xf numFmtId="173" fontId="0" fillId="0" borderId="0" xfId="22" applyNumberFormat="1" applyFont="1">
      <alignment/>
      <protection/>
    </xf>
    <xf numFmtId="187" fontId="0" fillId="0" borderId="0" xfId="22" applyNumberFormat="1" applyFont="1">
      <alignment/>
      <protection/>
    </xf>
    <xf numFmtId="192" fontId="0" fillId="0" borderId="13" xfId="22" applyNumberFormat="1" applyFont="1" applyBorder="1">
      <alignment/>
      <protection/>
    </xf>
    <xf numFmtId="173" fontId="0" fillId="0" borderId="15" xfId="22" applyNumberFormat="1" applyFont="1" applyFill="1" applyBorder="1">
      <alignment/>
      <protection/>
    </xf>
    <xf numFmtId="193" fontId="0" fillId="0" borderId="15" xfId="22" applyNumberFormat="1" applyFont="1" applyFill="1" applyBorder="1">
      <alignment/>
      <protection/>
    </xf>
    <xf numFmtId="192" fontId="0" fillId="0" borderId="16" xfId="22" applyNumberFormat="1" applyFont="1" applyBorder="1">
      <alignment/>
      <protection/>
    </xf>
    <xf numFmtId="187" fontId="0" fillId="0" borderId="0" xfId="22" applyNumberFormat="1" applyFont="1" applyFill="1" applyBorder="1">
      <alignment/>
      <protection/>
    </xf>
    <xf numFmtId="192" fontId="0" fillId="0" borderId="0" xfId="22" applyNumberFormat="1" applyFont="1" applyBorder="1">
      <alignment/>
      <protection/>
    </xf>
    <xf numFmtId="192" fontId="7" fillId="0" borderId="13" xfId="22" applyNumberFormat="1" applyFont="1" applyBorder="1">
      <alignment/>
      <protection/>
    </xf>
    <xf numFmtId="188" fontId="0" fillId="0" borderId="0" xfId="22" applyNumberFormat="1" applyFont="1" applyFill="1" applyBorder="1">
      <alignment/>
      <protection/>
    </xf>
    <xf numFmtId="191" fontId="0" fillId="0" borderId="0" xfId="22" applyNumberFormat="1" applyFont="1" applyFill="1" applyBorder="1">
      <alignment/>
      <protection/>
    </xf>
    <xf numFmtId="193" fontId="0" fillId="0" borderId="0" xfId="22" applyNumberFormat="1" applyFont="1" applyFill="1" applyBorder="1">
      <alignment/>
      <protection/>
    </xf>
    <xf numFmtId="192" fontId="0" fillId="0" borderId="20" xfId="22" applyNumberFormat="1" applyFont="1" applyBorder="1">
      <alignment/>
      <protection/>
    </xf>
    <xf numFmtId="192" fontId="7" fillId="0" borderId="0" xfId="22" applyNumberFormat="1" applyFont="1" applyBorder="1">
      <alignment/>
      <protection/>
    </xf>
    <xf numFmtId="192" fontId="0" fillId="0" borderId="23" xfId="22" applyNumberFormat="1" applyFont="1" applyBorder="1">
      <alignment/>
      <protection/>
    </xf>
    <xf numFmtId="173" fontId="0" fillId="0" borderId="0" xfId="22" applyNumberFormat="1" applyFont="1" applyBorder="1">
      <alignment/>
      <protection/>
    </xf>
    <xf numFmtId="187" fontId="0" fillId="0" borderId="0" xfId="22" applyNumberFormat="1" applyFont="1" applyBorder="1">
      <alignment/>
      <protection/>
    </xf>
    <xf numFmtId="192" fontId="0" fillId="0" borderId="13" xfId="22" applyNumberFormat="1" applyFont="1" applyFill="1" applyBorder="1">
      <alignment/>
      <protection/>
    </xf>
    <xf numFmtId="192" fontId="7" fillId="0" borderId="13" xfId="22" applyNumberFormat="1" applyFont="1" applyFill="1" applyBorder="1">
      <alignment/>
      <protection/>
    </xf>
    <xf numFmtId="16" fontId="3" fillId="0" borderId="12" xfId="22" applyNumberFormat="1" applyFont="1" applyBorder="1" applyAlignment="1">
      <alignment horizontal="right"/>
      <protection/>
    </xf>
    <xf numFmtId="192" fontId="0" fillId="0" borderId="0" xfId="22" applyNumberFormat="1" applyFont="1" applyFill="1" applyBorder="1">
      <alignment/>
      <protection/>
    </xf>
    <xf numFmtId="192" fontId="3" fillId="0" borderId="24" xfId="22" applyNumberFormat="1" applyFont="1" applyBorder="1">
      <alignment/>
      <protection/>
    </xf>
    <xf numFmtId="192" fontId="3" fillId="0" borderId="25" xfId="22" applyNumberFormat="1" applyFont="1" applyBorder="1">
      <alignment/>
      <protection/>
    </xf>
    <xf numFmtId="192" fontId="3" fillId="0" borderId="13" xfId="22" applyNumberFormat="1" applyFont="1" applyBorder="1">
      <alignment/>
      <protection/>
    </xf>
    <xf numFmtId="192" fontId="3" fillId="0" borderId="14" xfId="22" applyNumberFormat="1" applyFont="1" applyBorder="1">
      <alignment/>
      <protection/>
    </xf>
    <xf numFmtId="192" fontId="0" fillId="0" borderId="23" xfId="22" applyNumberFormat="1" applyFont="1" applyFill="1" applyBorder="1">
      <alignment/>
      <protection/>
    </xf>
    <xf numFmtId="164" fontId="0" fillId="0" borderId="0" xfId="22" applyNumberFormat="1" applyFont="1" applyAlignment="1">
      <alignment horizontal="right"/>
      <protection/>
    </xf>
    <xf numFmtId="192" fontId="0" fillId="0" borderId="17" xfId="22" applyNumberFormat="1" applyFont="1" applyBorder="1">
      <alignment/>
      <protection/>
    </xf>
    <xf numFmtId="180" fontId="0" fillId="0" borderId="15" xfId="22" applyNumberFormat="1" applyFont="1" applyBorder="1">
      <alignment/>
      <protection/>
    </xf>
    <xf numFmtId="178" fontId="0" fillId="0" borderId="0" xfId="22" applyNumberFormat="1" applyFont="1">
      <alignment/>
      <protection/>
    </xf>
    <xf numFmtId="164" fontId="0" fillId="0" borderId="0" xfId="22" applyNumberFormat="1" applyFont="1" applyAlignment="1">
      <alignment horizontal="center"/>
      <protection/>
    </xf>
    <xf numFmtId="203" fontId="0" fillId="0" borderId="0" xfId="22" applyNumberFormat="1" applyFont="1" applyFill="1">
      <alignment/>
      <protection/>
    </xf>
    <xf numFmtId="203" fontId="0" fillId="0" borderId="0" xfId="22" applyNumberFormat="1" applyFont="1">
      <alignment/>
      <protection/>
    </xf>
    <xf numFmtId="164" fontId="6" fillId="0" borderId="12" xfId="22" applyNumberFormat="1" applyFont="1" applyBorder="1" applyAlignment="1">
      <alignment horizontal="right"/>
      <protection/>
    </xf>
    <xf numFmtId="164" fontId="6" fillId="0" borderId="0" xfId="22" applyNumberFormat="1" applyFont="1">
      <alignment/>
      <protection/>
    </xf>
    <xf numFmtId="164" fontId="6" fillId="0" borderId="13" xfId="22" applyNumberFormat="1" applyFont="1" applyBorder="1">
      <alignment/>
      <protection/>
    </xf>
    <xf numFmtId="164" fontId="6" fillId="0" borderId="14" xfId="22" applyNumberFormat="1" applyFont="1" applyBorder="1">
      <alignment/>
      <protection/>
    </xf>
    <xf numFmtId="183" fontId="0" fillId="0" borderId="0" xfId="22" applyNumberFormat="1" applyFont="1" applyFill="1" applyBorder="1">
      <alignment/>
      <protection/>
    </xf>
    <xf numFmtId="164" fontId="0" fillId="0" borderId="0" xfId="22" applyNumberFormat="1" applyFont="1" applyFill="1" applyBorder="1" applyAlignment="1">
      <alignment horizontal="center"/>
      <protection/>
    </xf>
    <xf numFmtId="192" fontId="0" fillId="0" borderId="0" xfId="22" applyNumberFormat="1" applyFont="1" applyBorder="1" applyAlignment="1" quotePrefix="1">
      <alignment horizontal="right"/>
      <protection/>
    </xf>
    <xf numFmtId="192" fontId="3" fillId="0" borderId="0" xfId="22" applyNumberFormat="1" applyFont="1">
      <alignment/>
      <protection/>
    </xf>
    <xf numFmtId="192" fontId="0" fillId="0" borderId="0" xfId="22" applyNumberFormat="1" applyFont="1" applyAlignment="1" quotePrefix="1">
      <alignment horizontal="right"/>
      <protection/>
    </xf>
    <xf numFmtId="192" fontId="0" fillId="0" borderId="26" xfId="22" applyNumberFormat="1" applyFont="1" applyBorder="1">
      <alignment/>
      <protection/>
    </xf>
    <xf numFmtId="192" fontId="0" fillId="0" borderId="27" xfId="22" applyNumberFormat="1" applyFont="1" applyBorder="1">
      <alignment/>
      <protection/>
    </xf>
    <xf numFmtId="164" fontId="3" fillId="0" borderId="22" xfId="22" applyNumberFormat="1" applyFont="1" applyBorder="1" applyAlignment="1">
      <alignment horizontal="right"/>
      <protection/>
    </xf>
    <xf numFmtId="164" fontId="3" fillId="0" borderId="15" xfId="22" applyNumberFormat="1" applyFont="1" applyBorder="1">
      <alignment/>
      <protection/>
    </xf>
    <xf numFmtId="194" fontId="3" fillId="0" borderId="24" xfId="22" applyNumberFormat="1" applyFont="1" applyBorder="1">
      <alignment/>
      <protection/>
    </xf>
    <xf numFmtId="194" fontId="3" fillId="0" borderId="25" xfId="22" applyNumberFormat="1" applyFont="1" applyBorder="1">
      <alignment/>
      <protection/>
    </xf>
    <xf numFmtId="164" fontId="3" fillId="0" borderId="0" xfId="22" applyNumberFormat="1" applyFont="1" applyAlignment="1">
      <alignment horizontal="right"/>
      <protection/>
    </xf>
    <xf numFmtId="164" fontId="8" fillId="0" borderId="0" xfId="22" applyNumberFormat="1" applyFont="1" applyAlignment="1">
      <alignment horizontal="right"/>
      <protection/>
    </xf>
    <xf numFmtId="185" fontId="8" fillId="0" borderId="0" xfId="22" applyNumberFormat="1" applyFont="1" applyBorder="1" applyAlignment="1">
      <alignment horizontal="right"/>
      <protection/>
    </xf>
    <xf numFmtId="185" fontId="3" fillId="0" borderId="0" xfId="22" applyNumberFormat="1" applyFont="1" applyBorder="1">
      <alignment/>
      <protection/>
    </xf>
    <xf numFmtId="172" fontId="0" fillId="0" borderId="0" xfId="22" applyNumberFormat="1" applyFont="1" applyAlignment="1">
      <alignment horizontal="right"/>
      <protection/>
    </xf>
    <xf numFmtId="0" fontId="0" fillId="0" borderId="0" xfId="22" applyFont="1" applyAlignment="1">
      <alignment horizontal="center"/>
      <protection/>
    </xf>
    <xf numFmtId="194" fontId="0" fillId="0" borderId="0" xfId="22" applyNumberFormat="1" applyFont="1">
      <alignment/>
      <protection/>
    </xf>
    <xf numFmtId="190" fontId="0" fillId="0" borderId="0" xfId="22" applyNumberFormat="1" applyFont="1">
      <alignment/>
      <protection/>
    </xf>
    <xf numFmtId="195" fontId="0" fillId="0" borderId="0" xfId="22" applyNumberFormat="1" applyFont="1" applyBorder="1">
      <alignment/>
      <protection/>
    </xf>
    <xf numFmtId="190" fontId="0" fillId="0" borderId="0" xfId="22" applyNumberFormat="1" applyFont="1" applyBorder="1">
      <alignment/>
      <protection/>
    </xf>
    <xf numFmtId="172" fontId="0" fillId="0" borderId="0" xfId="22" applyNumberFormat="1" applyFont="1">
      <alignment/>
      <protection/>
    </xf>
    <xf numFmtId="184" fontId="0" fillId="0" borderId="0" xfId="22" applyNumberFormat="1" applyFont="1">
      <alignment/>
      <protection/>
    </xf>
    <xf numFmtId="166" fontId="0" fillId="0" borderId="0" xfId="22" applyNumberFormat="1" applyFont="1">
      <alignment/>
      <protection/>
    </xf>
    <xf numFmtId="186" fontId="0" fillId="0" borderId="0" xfId="22" applyNumberFormat="1" applyFont="1" applyBorder="1">
      <alignment/>
      <protection/>
    </xf>
    <xf numFmtId="166" fontId="0" fillId="0" borderId="0" xfId="22" applyNumberFormat="1" applyFont="1" applyBorder="1">
      <alignment/>
      <protection/>
    </xf>
    <xf numFmtId="1" fontId="3" fillId="0" borderId="28" xfId="22" applyNumberFormat="1" applyFont="1" applyFill="1" applyBorder="1" applyAlignment="1">
      <alignment horizontal="center"/>
      <protection/>
    </xf>
    <xf numFmtId="1" fontId="3" fillId="0" borderId="0" xfId="22" applyNumberFormat="1" applyFont="1" applyBorder="1" applyAlignment="1">
      <alignment horizontal="center"/>
      <protection/>
    </xf>
    <xf numFmtId="164" fontId="9" fillId="0" borderId="0" xfId="22" applyNumberFormat="1" applyFont="1" applyAlignment="1">
      <alignment horizontal="right"/>
      <protection/>
    </xf>
    <xf numFmtId="164" fontId="9" fillId="0" borderId="0" xfId="22" applyNumberFormat="1" applyFont="1">
      <alignment/>
      <protection/>
    </xf>
    <xf numFmtId="1" fontId="3" fillId="0" borderId="29" xfId="22" applyNumberFormat="1" applyFont="1" applyFill="1" applyBorder="1" applyAlignment="1">
      <alignment horizontal="center"/>
      <protection/>
    </xf>
    <xf numFmtId="0" fontId="11" fillId="0" borderId="0" xfId="22" applyFont="1" applyAlignment="1">
      <alignment horizontal="center"/>
      <protection/>
    </xf>
    <xf numFmtId="190" fontId="12" fillId="0" borderId="29" xfId="22" applyNumberFormat="1" applyFont="1" applyFill="1" applyBorder="1">
      <alignment/>
      <protection/>
    </xf>
    <xf numFmtId="190" fontId="9" fillId="0" borderId="0" xfId="22" applyNumberFormat="1" applyFont="1" applyBorder="1">
      <alignment/>
      <protection/>
    </xf>
    <xf numFmtId="190" fontId="12" fillId="0" borderId="29" xfId="22" applyNumberFormat="1" applyFont="1" applyFill="1" applyBorder="1" applyAlignment="1">
      <alignment horizontal="center"/>
      <protection/>
    </xf>
    <xf numFmtId="190" fontId="12" fillId="0" borderId="0" xfId="22" applyNumberFormat="1" applyFont="1" applyBorder="1" applyAlignment="1">
      <alignment horizontal="center"/>
      <protection/>
    </xf>
    <xf numFmtId="190" fontId="12" fillId="0" borderId="30" xfId="22" applyNumberFormat="1" applyFont="1" applyFill="1" applyBorder="1">
      <alignment/>
      <protection/>
    </xf>
    <xf numFmtId="0" fontId="9" fillId="0" borderId="0" xfId="22" applyFont="1">
      <alignment/>
      <protection/>
    </xf>
    <xf numFmtId="166" fontId="12" fillId="0" borderId="0" xfId="22" applyNumberFormat="1" applyFont="1" applyFill="1" applyBorder="1">
      <alignment/>
      <protection/>
    </xf>
    <xf numFmtId="166" fontId="9" fillId="0" borderId="0" xfId="22" applyNumberFormat="1" applyFont="1" applyBorder="1">
      <alignment/>
      <protection/>
    </xf>
  </cellXfs>
  <cellStyles count="17">
    <cellStyle name="Normal" xfId="0"/>
    <cellStyle name="Comma" xfId="15"/>
    <cellStyle name="Comma [0]" xfId="16"/>
    <cellStyle name="Dezimal [0]_Kalkulation Abfallgebühren 2003" xfId="17"/>
    <cellStyle name="Dezimal [0]_Wertstoffhof, Aufteilung zus. Deponiegebühren" xfId="18"/>
    <cellStyle name="Dezimal_Kalkulation Abfallgebühren 2003" xfId="19"/>
    <cellStyle name="Dezimal_Wertstoffhof, Aufteilung zus. Deponiegebühren" xfId="20"/>
    <cellStyle name="Percent" xfId="21"/>
    <cellStyle name="Standard_Kalkulation Abfallgebühren 2003" xfId="22"/>
    <cellStyle name="Standard_Wertstoffhof, Aufteilung zus. Deponiegebühren" xfId="23"/>
    <cellStyle name="Currency" xfId="24"/>
    <cellStyle name="Currency [0]" xfId="25"/>
    <cellStyle name="Währung [0]_Kalkulation Abfallgebühren 2003" xfId="26"/>
    <cellStyle name="Währung [0]_Wertstoffhof, Aufteilung zus. Deponiegebühren" xfId="27"/>
    <cellStyle name="Währung EUR" xfId="28"/>
    <cellStyle name="Währung_Kalkulation Abfallgebühren 2003" xfId="29"/>
    <cellStyle name="Währung_Wertstoffhof, Aufteilung zus. Deponiegebühren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178</xdr:row>
      <xdr:rowOff>0</xdr:rowOff>
    </xdr:from>
    <xdr:to>
      <xdr:col>5</xdr:col>
      <xdr:colOff>476250</xdr:colOff>
      <xdr:row>179</xdr:row>
      <xdr:rowOff>0</xdr:rowOff>
    </xdr:to>
    <xdr:sp>
      <xdr:nvSpPr>
        <xdr:cNvPr id="1" name="Line 1"/>
        <xdr:cNvSpPr>
          <a:spLocks/>
        </xdr:cNvSpPr>
      </xdr:nvSpPr>
      <xdr:spPr>
        <a:xfrm>
          <a:off x="4124325" y="3101340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819150</xdr:colOff>
      <xdr:row>178</xdr:row>
      <xdr:rowOff>0</xdr:rowOff>
    </xdr:from>
    <xdr:to>
      <xdr:col>6</xdr:col>
      <xdr:colOff>819150</xdr:colOff>
      <xdr:row>179</xdr:row>
      <xdr:rowOff>0</xdr:rowOff>
    </xdr:to>
    <xdr:sp>
      <xdr:nvSpPr>
        <xdr:cNvPr id="2" name="Line 2"/>
        <xdr:cNvSpPr>
          <a:spLocks/>
        </xdr:cNvSpPr>
      </xdr:nvSpPr>
      <xdr:spPr>
        <a:xfrm>
          <a:off x="5286375" y="3101340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workbookViewId="0" topLeftCell="A1">
      <selection activeCell="F158" sqref="F158"/>
    </sheetView>
  </sheetViews>
  <sheetFormatPr defaultColWidth="11.421875" defaultRowHeight="12.75"/>
  <cols>
    <col min="1" max="1" width="5.7109375" style="2" customWidth="1"/>
    <col min="2" max="2" width="15.57421875" style="2" customWidth="1"/>
    <col min="3" max="3" width="7.8515625" style="2" customWidth="1"/>
    <col min="4" max="4" width="10.8515625" style="2" customWidth="1"/>
    <col min="5" max="5" width="14.7109375" style="2" customWidth="1"/>
    <col min="6" max="6" width="12.28125" style="2" customWidth="1"/>
    <col min="7" max="7" width="17.140625" style="2" customWidth="1"/>
    <col min="8" max="8" width="17.28125" style="2" customWidth="1"/>
    <col min="9" max="9" width="13.57421875" style="2" customWidth="1"/>
    <col min="10" max="16384" width="11.421875" style="2" customWidth="1"/>
  </cols>
  <sheetData>
    <row r="1" spans="1:8" ht="39.75" customHeight="1" thickBot="1">
      <c r="A1" s="1" t="s">
        <v>0</v>
      </c>
      <c r="B1" s="1"/>
      <c r="C1" s="1"/>
      <c r="D1" s="1"/>
      <c r="E1" s="1"/>
      <c r="F1" s="1"/>
      <c r="G1" s="1"/>
      <c r="H1" s="1"/>
    </row>
    <row r="2" spans="1:8" s="7" customFormat="1" ht="15.75">
      <c r="A2" s="3"/>
      <c r="B2" s="4"/>
      <c r="C2" s="4"/>
      <c r="D2" s="4"/>
      <c r="E2" s="4"/>
      <c r="F2" s="4"/>
      <c r="G2" s="5" t="s">
        <v>1</v>
      </c>
      <c r="H2" s="6"/>
    </row>
    <row r="3" spans="1:8" s="7" customFormat="1" ht="17.25">
      <c r="A3" s="8" t="s">
        <v>2</v>
      </c>
      <c r="B3" s="9"/>
      <c r="C3" s="9"/>
      <c r="D3" s="9"/>
      <c r="E3" s="9"/>
      <c r="F3" s="9"/>
      <c r="G3" s="10" t="s">
        <v>3</v>
      </c>
      <c r="H3" s="11" t="s">
        <v>4</v>
      </c>
    </row>
    <row r="4" spans="1:8" ht="16.5" thickBot="1">
      <c r="A4" s="12"/>
      <c r="B4" s="13"/>
      <c r="C4" s="13"/>
      <c r="D4" s="13"/>
      <c r="E4" s="13"/>
      <c r="F4" s="13"/>
      <c r="G4" s="14" t="s">
        <v>5</v>
      </c>
      <c r="H4" s="15" t="s">
        <v>6</v>
      </c>
    </row>
    <row r="5" spans="1:8" s="7" customFormat="1" ht="21" customHeight="1">
      <c r="A5" s="16" t="s">
        <v>7</v>
      </c>
      <c r="B5" s="17" t="s">
        <v>8</v>
      </c>
      <c r="G5" s="18"/>
      <c r="H5" s="19"/>
    </row>
    <row r="6" spans="1:8" ht="12.75">
      <c r="A6" s="20" t="s">
        <v>9</v>
      </c>
      <c r="B6" s="21" t="s">
        <v>5</v>
      </c>
      <c r="G6" s="22"/>
      <c r="H6" s="23"/>
    </row>
    <row r="7" spans="1:8" ht="12.75">
      <c r="A7" s="20"/>
      <c r="B7" s="24">
        <f>4050+50</f>
        <v>4100</v>
      </c>
      <c r="C7" s="25">
        <v>80</v>
      </c>
      <c r="D7" s="26">
        <f>B7*C7</f>
        <v>328000</v>
      </c>
      <c r="E7" s="27">
        <v>13</v>
      </c>
      <c r="G7" s="28">
        <f>D7*E7</f>
        <v>4264000</v>
      </c>
      <c r="H7" s="29"/>
    </row>
    <row r="8" spans="1:8" ht="12.75">
      <c r="A8" s="20"/>
      <c r="B8" s="24">
        <v>3460</v>
      </c>
      <c r="C8" s="25">
        <v>120</v>
      </c>
      <c r="D8" s="26">
        <f>B8*C8</f>
        <v>415200</v>
      </c>
      <c r="E8" s="27">
        <f>$E$7</f>
        <v>13</v>
      </c>
      <c r="G8" s="28">
        <f>D8*E8</f>
        <v>5397600</v>
      </c>
      <c r="H8" s="29"/>
    </row>
    <row r="9" spans="1:8" ht="12.75">
      <c r="A9" s="20"/>
      <c r="B9" s="24">
        <v>1900</v>
      </c>
      <c r="C9" s="25">
        <v>240</v>
      </c>
      <c r="D9" s="26">
        <f>B9*C9</f>
        <v>456000</v>
      </c>
      <c r="E9" s="27">
        <f>$E$7</f>
        <v>13</v>
      </c>
      <c r="G9" s="28">
        <f>D9*E9</f>
        <v>5928000</v>
      </c>
      <c r="H9" s="29"/>
    </row>
    <row r="10" spans="1:8" ht="12.75">
      <c r="A10" s="20"/>
      <c r="B10" s="24">
        <v>13</v>
      </c>
      <c r="C10" s="25">
        <v>1100</v>
      </c>
      <c r="D10" s="26">
        <f>B10*C10</f>
        <v>14300</v>
      </c>
      <c r="E10" s="27">
        <f>$E$7*2</f>
        <v>26</v>
      </c>
      <c r="G10" s="28">
        <f>D10*E10</f>
        <v>371800</v>
      </c>
      <c r="H10" s="29"/>
    </row>
    <row r="11" spans="1:8" ht="12.75">
      <c r="A11" s="20"/>
      <c r="B11" s="30">
        <v>20</v>
      </c>
      <c r="C11" s="25">
        <v>1100</v>
      </c>
      <c r="D11" s="26">
        <f>B11*C11</f>
        <v>22000</v>
      </c>
      <c r="E11" s="27">
        <f>$E$7*4</f>
        <v>52</v>
      </c>
      <c r="G11" s="31">
        <f>D11*E11</f>
        <v>1144000</v>
      </c>
      <c r="H11" s="29"/>
    </row>
    <row r="12" spans="1:8" ht="12.75">
      <c r="A12" s="20"/>
      <c r="B12" s="24">
        <f>SUM(B7:B11)</f>
        <v>9493</v>
      </c>
      <c r="C12" s="25"/>
      <c r="D12" s="26"/>
      <c r="E12" s="27"/>
      <c r="G12" s="28">
        <f>SUM(G7:G11)</f>
        <v>17105400</v>
      </c>
      <c r="H12" s="29"/>
    </row>
    <row r="13" spans="1:8" ht="12.75">
      <c r="A13" s="20"/>
      <c r="B13" s="24"/>
      <c r="C13" s="25"/>
      <c r="D13" s="26"/>
      <c r="E13" s="27"/>
      <c r="G13" s="32">
        <f>ROUND(G12/($G$12+$H$18),4)</f>
        <v>0.8967</v>
      </c>
      <c r="H13" s="29"/>
    </row>
    <row r="14" spans="1:8" ht="12.75">
      <c r="A14" s="20" t="s">
        <v>10</v>
      </c>
      <c r="B14" s="24" t="s">
        <v>6</v>
      </c>
      <c r="C14" s="25"/>
      <c r="D14" s="26"/>
      <c r="E14" s="27"/>
      <c r="G14" s="28"/>
      <c r="H14" s="29"/>
    </row>
    <row r="15" spans="1:8" ht="12.75">
      <c r="A15" s="33"/>
      <c r="B15" s="24">
        <v>230</v>
      </c>
      <c r="C15" s="25">
        <v>80</v>
      </c>
      <c r="D15" s="26">
        <f>B15*C15</f>
        <v>18400</v>
      </c>
      <c r="E15" s="27">
        <f>$E$7</f>
        <v>13</v>
      </c>
      <c r="G15" s="28"/>
      <c r="H15" s="29">
        <f>D15*E15</f>
        <v>239200</v>
      </c>
    </row>
    <row r="16" spans="1:8" ht="12.75">
      <c r="A16" s="33"/>
      <c r="B16" s="24">
        <v>350</v>
      </c>
      <c r="C16" s="25">
        <v>120</v>
      </c>
      <c r="D16" s="26">
        <f>B16*C16</f>
        <v>42000</v>
      </c>
      <c r="E16" s="27">
        <f>$E$7</f>
        <v>13</v>
      </c>
      <c r="G16" s="28"/>
      <c r="H16" s="29">
        <f>D16*E16</f>
        <v>546000</v>
      </c>
    </row>
    <row r="17" spans="1:8" ht="12.75">
      <c r="A17" s="33"/>
      <c r="B17" s="30">
        <v>380</v>
      </c>
      <c r="C17" s="25">
        <v>240</v>
      </c>
      <c r="D17" s="26">
        <f>B17*C17</f>
        <v>91200</v>
      </c>
      <c r="E17" s="27">
        <f>$E$7</f>
        <v>13</v>
      </c>
      <c r="G17" s="28"/>
      <c r="H17" s="34">
        <f>D17*E17</f>
        <v>1185600</v>
      </c>
    </row>
    <row r="18" spans="1:8" ht="12.75">
      <c r="A18" s="33"/>
      <c r="B18" s="35">
        <f>SUM(B15:B17)</f>
        <v>960</v>
      </c>
      <c r="G18" s="22"/>
      <c r="H18" s="29">
        <f>SUM(H15:H17)</f>
        <v>1970800</v>
      </c>
    </row>
    <row r="19" spans="1:8" ht="12.75">
      <c r="A19" s="33"/>
      <c r="G19" s="22"/>
      <c r="H19" s="36">
        <f>1-G13</f>
        <v>0.10329999999999995</v>
      </c>
    </row>
    <row r="20" spans="1:8" s="17" customFormat="1" ht="21" customHeight="1">
      <c r="A20" s="16" t="s">
        <v>11</v>
      </c>
      <c r="B20" s="17" t="s">
        <v>12</v>
      </c>
      <c r="G20" s="37"/>
      <c r="H20" s="38"/>
    </row>
    <row r="21" spans="1:8" s="17" customFormat="1" ht="21" customHeight="1">
      <c r="A21" s="16" t="s">
        <v>13</v>
      </c>
      <c r="B21" s="17" t="s">
        <v>14</v>
      </c>
      <c r="E21" s="39"/>
      <c r="G21" s="37"/>
      <c r="H21" s="38"/>
    </row>
    <row r="22" spans="1:8" s="41" customFormat="1" ht="12.75" hidden="1">
      <c r="A22" s="40"/>
      <c r="B22" s="41" t="s">
        <v>15</v>
      </c>
      <c r="E22" s="42" t="s">
        <v>16</v>
      </c>
      <c r="F22" s="43"/>
      <c r="G22" s="44"/>
      <c r="H22" s="45"/>
    </row>
    <row r="23" spans="1:8" s="48" customFormat="1" ht="12.75" hidden="1">
      <c r="A23" s="46"/>
      <c r="B23" s="41"/>
      <c r="C23" s="47"/>
      <c r="E23" s="49" t="s">
        <v>17</v>
      </c>
      <c r="F23" s="50" t="s">
        <v>18</v>
      </c>
      <c r="G23" s="44"/>
      <c r="H23" s="45"/>
    </row>
    <row r="24" spans="1:8" s="48" customFormat="1" ht="12.75" hidden="1">
      <c r="A24" s="46"/>
      <c r="B24" s="47" t="s">
        <v>19</v>
      </c>
      <c r="C24" s="47"/>
      <c r="E24" s="47">
        <f>SUM(B7:B9)</f>
        <v>9460</v>
      </c>
      <c r="F24" s="47">
        <f>SUM(B15:B17)</f>
        <v>960</v>
      </c>
      <c r="G24" s="44"/>
      <c r="H24" s="45"/>
    </row>
    <row r="25" spans="1:8" s="48" customFormat="1" ht="12.75" hidden="1">
      <c r="A25" s="46" t="s">
        <v>20</v>
      </c>
      <c r="B25" s="47" t="s">
        <v>14</v>
      </c>
      <c r="C25" s="47"/>
      <c r="E25" s="51" t="s">
        <v>21</v>
      </c>
      <c r="F25" s="52" t="s">
        <v>21</v>
      </c>
      <c r="G25" s="44"/>
      <c r="H25" s="45"/>
    </row>
    <row r="26" spans="1:8" s="48" customFormat="1" ht="12.75" hidden="1">
      <c r="A26" s="46" t="s">
        <v>22</v>
      </c>
      <c r="B26" s="47" t="s">
        <v>23</v>
      </c>
      <c r="C26" s="47"/>
      <c r="E26" s="53">
        <v>20.9</v>
      </c>
      <c r="F26" s="53">
        <v>24.07</v>
      </c>
      <c r="G26" s="44"/>
      <c r="H26" s="45"/>
    </row>
    <row r="27" spans="1:8" s="48" customFormat="1" ht="12.75" hidden="1">
      <c r="A27" s="46" t="s">
        <v>24</v>
      </c>
      <c r="B27" s="47" t="s">
        <v>25</v>
      </c>
      <c r="C27" s="47"/>
      <c r="E27" s="54">
        <f>ROUND(E24*E26,0)</f>
        <v>197714</v>
      </c>
      <c r="F27" s="54">
        <f>ROUND(F24*F26,0)</f>
        <v>23107</v>
      </c>
      <c r="G27" s="44"/>
      <c r="H27" s="45"/>
    </row>
    <row r="28" spans="1:8" s="48" customFormat="1" ht="12.75" hidden="1">
      <c r="A28" s="46"/>
      <c r="B28" s="47" t="s">
        <v>26</v>
      </c>
      <c r="C28" s="47"/>
      <c r="E28" s="55">
        <f>SUM(E27:F27)</f>
        <v>220821</v>
      </c>
      <c r="F28" s="55"/>
      <c r="G28" s="44"/>
      <c r="H28" s="45"/>
    </row>
    <row r="29" spans="1:8" s="48" customFormat="1" ht="12.75" hidden="1">
      <c r="A29" s="46"/>
      <c r="B29" s="47" t="s">
        <v>27</v>
      </c>
      <c r="C29" s="47"/>
      <c r="E29" s="55">
        <f>SUM(E24:F24)</f>
        <v>10420</v>
      </c>
      <c r="F29" s="55"/>
      <c r="G29" s="44"/>
      <c r="H29" s="45"/>
    </row>
    <row r="30" spans="1:8" s="48" customFormat="1" ht="12.75" hidden="1">
      <c r="A30" s="46"/>
      <c r="B30" s="47" t="s">
        <v>28</v>
      </c>
      <c r="C30" s="47"/>
      <c r="E30" s="56">
        <f>ROUND(E28/E29,2)</f>
        <v>21.19</v>
      </c>
      <c r="F30" s="57"/>
      <c r="G30" s="44"/>
      <c r="H30" s="45"/>
    </row>
    <row r="31" spans="1:8" ht="18" customHeight="1">
      <c r="A31" s="20" t="s">
        <v>9</v>
      </c>
      <c r="B31" s="2" t="s">
        <v>29</v>
      </c>
      <c r="G31" s="22"/>
      <c r="H31" s="23"/>
    </row>
    <row r="32" spans="1:8" ht="12.75">
      <c r="A32" s="33"/>
      <c r="B32" s="58">
        <f>B7</f>
        <v>4100</v>
      </c>
      <c r="C32" s="58">
        <v>80</v>
      </c>
      <c r="D32" s="2" t="s">
        <v>30</v>
      </c>
      <c r="E32" s="59">
        <f>$E$30</f>
        <v>21.19</v>
      </c>
      <c r="F32" s="60">
        <f>ROUND(B32*E32,0)</f>
        <v>86879</v>
      </c>
      <c r="G32" s="22"/>
      <c r="H32" s="23"/>
    </row>
    <row r="33" spans="1:8" ht="12.75">
      <c r="A33" s="33"/>
      <c r="B33" s="58">
        <f>B8</f>
        <v>3460</v>
      </c>
      <c r="C33" s="58">
        <v>120</v>
      </c>
      <c r="D33" s="2" t="s">
        <v>30</v>
      </c>
      <c r="E33" s="59">
        <f>$E$30</f>
        <v>21.19</v>
      </c>
      <c r="F33" s="60">
        <f>ROUND(B33*E33,0)</f>
        <v>73317</v>
      </c>
      <c r="G33" s="22"/>
      <c r="H33" s="23"/>
    </row>
    <row r="34" spans="1:8" ht="12.75">
      <c r="A34" s="33"/>
      <c r="B34" s="58">
        <f>B9</f>
        <v>1900</v>
      </c>
      <c r="C34" s="58">
        <v>240</v>
      </c>
      <c r="D34" s="2" t="s">
        <v>30</v>
      </c>
      <c r="E34" s="59">
        <f>$E$30</f>
        <v>21.19</v>
      </c>
      <c r="F34" s="60">
        <f>ROUND(B34*E34,0)</f>
        <v>40261</v>
      </c>
      <c r="G34" s="22"/>
      <c r="H34" s="23"/>
    </row>
    <row r="35" spans="1:8" ht="12.75">
      <c r="A35" s="33"/>
      <c r="B35" s="58">
        <f>B10</f>
        <v>13</v>
      </c>
      <c r="C35" s="58">
        <v>1100</v>
      </c>
      <c r="D35" s="2" t="s">
        <v>30</v>
      </c>
      <c r="E35" s="59">
        <v>352.91</v>
      </c>
      <c r="F35" s="60">
        <f>ROUND(B35*E35,0)</f>
        <v>4588</v>
      </c>
      <c r="G35" s="22"/>
      <c r="H35" s="23"/>
    </row>
    <row r="36" spans="1:8" ht="12.75">
      <c r="A36" s="33"/>
      <c r="B36" s="58">
        <f>B11</f>
        <v>20</v>
      </c>
      <c r="C36" s="58">
        <v>1100</v>
      </c>
      <c r="D36" s="2" t="s">
        <v>30</v>
      </c>
      <c r="E36" s="59">
        <v>493.8</v>
      </c>
      <c r="F36" s="60">
        <f>ROUND(B36*E36,0)</f>
        <v>9876</v>
      </c>
      <c r="G36" s="22"/>
      <c r="H36" s="23"/>
    </row>
    <row r="37" spans="1:8" ht="12.75">
      <c r="A37" s="33"/>
      <c r="B37" s="58" t="s">
        <v>31</v>
      </c>
      <c r="C37" s="58"/>
      <c r="E37" s="61"/>
      <c r="F37" s="62"/>
      <c r="G37" s="60">
        <f>SUM(F32:F36)</f>
        <v>214921</v>
      </c>
      <c r="H37" s="23"/>
    </row>
    <row r="38" spans="1:8" ht="18" customHeight="1">
      <c r="A38" s="20" t="s">
        <v>10</v>
      </c>
      <c r="B38" s="58" t="s">
        <v>32</v>
      </c>
      <c r="C38" s="58"/>
      <c r="E38" s="61"/>
      <c r="G38" s="22"/>
      <c r="H38" s="23"/>
    </row>
    <row r="39" spans="1:8" ht="12.75">
      <c r="A39" s="33"/>
      <c r="B39" s="58">
        <f>B15</f>
        <v>230</v>
      </c>
      <c r="C39" s="58">
        <v>80</v>
      </c>
      <c r="D39" s="2" t="s">
        <v>30</v>
      </c>
      <c r="E39" s="59">
        <f>$E$30</f>
        <v>21.19</v>
      </c>
      <c r="F39" s="60">
        <f>ROUND(B39*E39,0)</f>
        <v>4874</v>
      </c>
      <c r="G39" s="22"/>
      <c r="H39" s="23"/>
    </row>
    <row r="40" spans="1:8" ht="12.75">
      <c r="A40" s="33"/>
      <c r="B40" s="58">
        <f>B16</f>
        <v>350</v>
      </c>
      <c r="C40" s="58">
        <v>120</v>
      </c>
      <c r="D40" s="2" t="s">
        <v>30</v>
      </c>
      <c r="E40" s="59">
        <f>$E$30</f>
        <v>21.19</v>
      </c>
      <c r="F40" s="60">
        <f>ROUND(B40*E40,0)</f>
        <v>7417</v>
      </c>
      <c r="G40" s="22"/>
      <c r="H40" s="23"/>
    </row>
    <row r="41" spans="1:8" ht="12.75">
      <c r="A41" s="33"/>
      <c r="B41" s="58">
        <f>B17</f>
        <v>380</v>
      </c>
      <c r="C41" s="58">
        <v>240</v>
      </c>
      <c r="D41" s="2" t="s">
        <v>30</v>
      </c>
      <c r="E41" s="59">
        <f>$E$30</f>
        <v>21.19</v>
      </c>
      <c r="F41" s="60">
        <f>ROUND(B41*E41,0)</f>
        <v>8052</v>
      </c>
      <c r="G41" s="22"/>
      <c r="H41" s="23"/>
    </row>
    <row r="42" spans="1:8" ht="12.75">
      <c r="A42" s="33"/>
      <c r="B42" s="58" t="s">
        <v>33</v>
      </c>
      <c r="C42" s="58"/>
      <c r="G42" s="22"/>
      <c r="H42" s="63">
        <f>SUM(F39:F41)</f>
        <v>20343</v>
      </c>
    </row>
    <row r="43" spans="1:8" ht="18" customHeight="1">
      <c r="A43" s="20" t="s">
        <v>34</v>
      </c>
      <c r="B43" s="58" t="s">
        <v>35</v>
      </c>
      <c r="C43" s="58"/>
      <c r="G43" s="22"/>
      <c r="H43" s="63"/>
    </row>
    <row r="44" spans="1:8" ht="12.75">
      <c r="A44" s="33"/>
      <c r="B44" s="58" t="s">
        <v>36</v>
      </c>
      <c r="C44" s="58"/>
      <c r="G44" s="22"/>
      <c r="H44" s="63"/>
    </row>
    <row r="45" spans="1:8" ht="12.75">
      <c r="A45" s="33"/>
      <c r="B45" s="58" t="s">
        <v>37</v>
      </c>
      <c r="C45" s="58"/>
      <c r="G45" s="22"/>
      <c r="H45" s="63"/>
    </row>
    <row r="46" spans="1:8" ht="12.75">
      <c r="A46" s="33"/>
      <c r="B46" s="58" t="s">
        <v>38</v>
      </c>
      <c r="C46" s="58"/>
      <c r="G46" s="22"/>
      <c r="H46" s="63"/>
    </row>
    <row r="47" spans="1:8" ht="12.75">
      <c r="A47" s="33"/>
      <c r="B47" s="58" t="s">
        <v>39</v>
      </c>
      <c r="C47" s="58"/>
      <c r="E47" s="2" t="s">
        <v>40</v>
      </c>
      <c r="F47" s="64">
        <v>44080</v>
      </c>
      <c r="G47" s="22"/>
      <c r="H47" s="63"/>
    </row>
    <row r="48" spans="1:8" ht="12.75">
      <c r="A48" s="33"/>
      <c r="B48" s="58" t="s">
        <v>41</v>
      </c>
      <c r="C48" s="58"/>
      <c r="G48" s="22"/>
      <c r="H48" s="63"/>
    </row>
    <row r="49" spans="1:8" ht="12.75">
      <c r="A49" s="33"/>
      <c r="B49" s="58" t="s">
        <v>42</v>
      </c>
      <c r="C49" s="58"/>
      <c r="G49" s="22"/>
      <c r="H49" s="63"/>
    </row>
    <row r="50" spans="1:8" ht="12.75">
      <c r="A50" s="33"/>
      <c r="B50" s="58" t="s">
        <v>43</v>
      </c>
      <c r="C50" s="58"/>
      <c r="E50" s="60">
        <f>G37</f>
        <v>214921</v>
      </c>
      <c r="F50" s="65">
        <f>ROUND(G37/($G$37+$H$42),4)</f>
        <v>0.9135</v>
      </c>
      <c r="G50" s="66">
        <f>-(ROUND($F$47*$F50,0))</f>
        <v>-40267</v>
      </c>
      <c r="H50" s="63"/>
    </row>
    <row r="51" spans="1:8" ht="12.75">
      <c r="A51" s="33"/>
      <c r="B51" s="58" t="s">
        <v>44</v>
      </c>
      <c r="C51" s="58"/>
      <c r="E51" s="60">
        <f>H42</f>
        <v>20343</v>
      </c>
      <c r="F51" s="65">
        <f>1-F50</f>
        <v>0.08650000000000002</v>
      </c>
      <c r="G51" s="22"/>
      <c r="H51" s="67">
        <f>-F47-G50</f>
        <v>-3813</v>
      </c>
    </row>
    <row r="52" spans="1:8" ht="18" customHeight="1">
      <c r="A52" s="20" t="s">
        <v>45</v>
      </c>
      <c r="B52" s="2" t="s">
        <v>46</v>
      </c>
      <c r="C52" s="58"/>
      <c r="G52" s="22"/>
      <c r="H52" s="23"/>
    </row>
    <row r="53" spans="1:8" ht="12.75">
      <c r="A53" s="33"/>
      <c r="B53" s="68">
        <v>2720</v>
      </c>
      <c r="C53" s="58">
        <v>120</v>
      </c>
      <c r="D53" s="2" t="s">
        <v>30</v>
      </c>
      <c r="E53" s="59">
        <v>27.93</v>
      </c>
      <c r="F53" s="60">
        <f>ROUND(B53*E53,0)</f>
        <v>75970</v>
      </c>
      <c r="G53" s="22"/>
      <c r="H53" s="23"/>
    </row>
    <row r="54" spans="1:8" ht="12.75">
      <c r="A54" s="33"/>
      <c r="B54" s="68">
        <v>6200</v>
      </c>
      <c r="C54" s="58">
        <v>240</v>
      </c>
      <c r="D54" s="2" t="s">
        <v>30</v>
      </c>
      <c r="E54" s="59">
        <v>35.47</v>
      </c>
      <c r="F54" s="60">
        <f>ROUND(B54*E54,0)</f>
        <v>219914</v>
      </c>
      <c r="G54" s="22"/>
      <c r="H54" s="23"/>
    </row>
    <row r="55" spans="1:8" ht="12.75">
      <c r="A55" s="69"/>
      <c r="B55" s="70" t="s">
        <v>47</v>
      </c>
      <c r="C55" s="71"/>
      <c r="D55" s="71"/>
      <c r="E55" s="71"/>
      <c r="F55" s="72"/>
      <c r="G55" s="73">
        <f>SUM(F53:F54)</f>
        <v>295884</v>
      </c>
      <c r="H55" s="74"/>
    </row>
    <row r="56" spans="1:8" ht="18" customHeight="1">
      <c r="A56" s="20" t="s">
        <v>48</v>
      </c>
      <c r="B56" s="58" t="s">
        <v>49</v>
      </c>
      <c r="G56" s="22"/>
      <c r="H56" s="23"/>
    </row>
    <row r="57" spans="1:8" ht="12.75">
      <c r="A57" s="33"/>
      <c r="B57" s="2" t="s">
        <v>50</v>
      </c>
      <c r="G57" s="22"/>
      <c r="H57" s="23"/>
    </row>
    <row r="58" spans="1:8" ht="12.75">
      <c r="A58" s="33"/>
      <c r="B58" s="2" t="s">
        <v>51</v>
      </c>
      <c r="G58" s="22"/>
      <c r="H58" s="23"/>
    </row>
    <row r="59" spans="1:8" ht="18" customHeight="1">
      <c r="A59" s="33"/>
      <c r="B59" s="2" t="s">
        <v>52</v>
      </c>
      <c r="C59" s="75"/>
      <c r="D59" s="76">
        <v>1100</v>
      </c>
      <c r="E59" s="59">
        <v>58</v>
      </c>
      <c r="F59" s="77">
        <f>ROUND(D59*E59,0)</f>
        <v>63800</v>
      </c>
      <c r="G59" s="22"/>
      <c r="H59" s="23"/>
    </row>
    <row r="60" spans="1:8" ht="12.75" customHeight="1">
      <c r="A60" s="33"/>
      <c r="B60" s="2" t="s">
        <v>53</v>
      </c>
      <c r="C60" s="75"/>
      <c r="F60" s="78">
        <v>7900</v>
      </c>
      <c r="G60" s="22"/>
      <c r="H60" s="23"/>
    </row>
    <row r="61" spans="1:8" ht="12.75">
      <c r="A61" s="33"/>
      <c r="B61" s="2" t="s">
        <v>54</v>
      </c>
      <c r="C61" s="75"/>
      <c r="F61" s="78">
        <v>3000</v>
      </c>
      <c r="G61" s="22"/>
      <c r="H61" s="23"/>
    </row>
    <row r="62" spans="1:8" ht="12.75">
      <c r="A62" s="33"/>
      <c r="B62" s="2" t="s">
        <v>55</v>
      </c>
      <c r="C62" s="75"/>
      <c r="F62" s="78">
        <v>0</v>
      </c>
      <c r="G62" s="22"/>
      <c r="H62" s="23"/>
    </row>
    <row r="63" spans="1:8" ht="12.75">
      <c r="A63" s="33"/>
      <c r="B63" s="2" t="s">
        <v>56</v>
      </c>
      <c r="C63" s="75"/>
      <c r="E63" s="78"/>
      <c r="G63" s="22"/>
      <c r="H63" s="23"/>
    </row>
    <row r="64" spans="1:8" ht="12.75">
      <c r="A64" s="33"/>
      <c r="B64" s="2" t="s">
        <v>57</v>
      </c>
      <c r="C64" s="75"/>
      <c r="E64" s="78"/>
      <c r="G64" s="22"/>
      <c r="H64" s="23"/>
    </row>
    <row r="65" spans="1:8" ht="12.75">
      <c r="A65" s="33"/>
      <c r="B65" s="2" t="s">
        <v>58</v>
      </c>
      <c r="C65" s="75"/>
      <c r="F65" s="78">
        <v>10500</v>
      </c>
      <c r="G65" s="22"/>
      <c r="H65" s="23"/>
    </row>
    <row r="66" spans="1:8" ht="12.75">
      <c r="A66" s="33"/>
      <c r="B66" s="2" t="s">
        <v>59</v>
      </c>
      <c r="C66" s="75"/>
      <c r="F66" s="79">
        <v>45400</v>
      </c>
      <c r="G66" s="22"/>
      <c r="H66" s="23"/>
    </row>
    <row r="67" spans="1:8" ht="12.75">
      <c r="A67" s="33"/>
      <c r="F67" s="80">
        <f>SUM(F59:F66)</f>
        <v>130600</v>
      </c>
      <c r="G67" s="22"/>
      <c r="H67" s="23"/>
    </row>
    <row r="68" spans="1:8" ht="12.75">
      <c r="A68" s="33"/>
      <c r="F68" s="80"/>
      <c r="G68" s="81"/>
      <c r="H68" s="23"/>
    </row>
    <row r="69" spans="1:8" ht="18" customHeight="1">
      <c r="A69" s="33"/>
      <c r="B69" s="2" t="s">
        <v>60</v>
      </c>
      <c r="F69" s="82">
        <f>$G$13</f>
        <v>0.8967</v>
      </c>
      <c r="G69" s="60">
        <f>ROUND(F67*F69,0)</f>
        <v>117109</v>
      </c>
      <c r="H69" s="23"/>
    </row>
    <row r="70" spans="1:8" ht="12.75">
      <c r="A70" s="33"/>
      <c r="B70" s="2" t="s">
        <v>61</v>
      </c>
      <c r="F70" s="83">
        <f>$H$19</f>
        <v>0.10329999999999995</v>
      </c>
      <c r="G70" s="22"/>
      <c r="H70" s="63">
        <f>F67-G69</f>
        <v>13491</v>
      </c>
    </row>
    <row r="71" spans="1:8" ht="18" customHeight="1">
      <c r="A71" s="33"/>
      <c r="B71" s="2" t="s">
        <v>62</v>
      </c>
      <c r="F71" s="83"/>
      <c r="G71" s="22"/>
      <c r="H71" s="23"/>
    </row>
    <row r="72" spans="1:8" ht="12.75">
      <c r="A72" s="33"/>
      <c r="B72" s="2" t="s">
        <v>63</v>
      </c>
      <c r="F72" s="83"/>
      <c r="G72" s="22"/>
      <c r="H72" s="23"/>
    </row>
    <row r="73" spans="1:8" ht="12.75">
      <c r="A73" s="33"/>
      <c r="B73" s="2" t="s">
        <v>64</v>
      </c>
      <c r="F73" s="82"/>
      <c r="G73" s="64">
        <f>4248+15750+69200</f>
        <v>89198</v>
      </c>
      <c r="H73" s="84"/>
    </row>
    <row r="74" spans="1:8" ht="12.75">
      <c r="A74" s="33"/>
      <c r="B74" s="81" t="s">
        <v>65</v>
      </c>
      <c r="C74" s="81"/>
      <c r="D74" s="81"/>
      <c r="E74" s="81"/>
      <c r="F74" s="85"/>
      <c r="G74" s="86"/>
      <c r="H74" s="87">
        <f>1750+8496</f>
        <v>10246</v>
      </c>
    </row>
    <row r="75" spans="1:8" s="17" customFormat="1" ht="21" customHeight="1">
      <c r="A75" s="16" t="s">
        <v>66</v>
      </c>
      <c r="B75" s="88" t="s">
        <v>67</v>
      </c>
      <c r="C75" s="88"/>
      <c r="D75" s="88"/>
      <c r="E75" s="88"/>
      <c r="F75" s="88"/>
      <c r="G75" s="37"/>
      <c r="H75" s="38"/>
    </row>
    <row r="76" spans="1:8" ht="18" customHeight="1">
      <c r="A76" s="20" t="s">
        <v>9</v>
      </c>
      <c r="B76" s="2" t="s">
        <v>68</v>
      </c>
      <c r="C76" s="75"/>
      <c r="D76" s="75"/>
      <c r="E76" s="75"/>
      <c r="G76" s="22"/>
      <c r="H76" s="23"/>
    </row>
    <row r="77" spans="1:8" ht="12.75">
      <c r="A77" s="33"/>
      <c r="B77" s="75" t="s">
        <v>69</v>
      </c>
      <c r="G77" s="22"/>
      <c r="H77" s="23"/>
    </row>
    <row r="78" spans="1:8" ht="12.75">
      <c r="A78" s="33"/>
      <c r="B78" s="75" t="s">
        <v>70</v>
      </c>
      <c r="G78" s="22"/>
      <c r="H78" s="23"/>
    </row>
    <row r="79" spans="1:8" ht="12.75">
      <c r="A79" s="33"/>
      <c r="B79" s="75" t="s">
        <v>71</v>
      </c>
      <c r="G79" s="22"/>
      <c r="H79" s="23"/>
    </row>
    <row r="80" spans="1:8" ht="12.75">
      <c r="A80" s="33"/>
      <c r="B80" s="75" t="s">
        <v>72</v>
      </c>
      <c r="G80" s="22"/>
      <c r="H80" s="23"/>
    </row>
    <row r="81" spans="1:8" ht="12.75">
      <c r="A81" s="33"/>
      <c r="B81" s="75" t="s">
        <v>73</v>
      </c>
      <c r="G81" s="22"/>
      <c r="H81" s="23"/>
    </row>
    <row r="82" spans="1:8" s="91" customFormat="1" ht="12.75">
      <c r="A82" s="89"/>
      <c r="B82" s="90" t="s">
        <v>74</v>
      </c>
      <c r="C82" s="68"/>
      <c r="D82" s="68">
        <v>8021</v>
      </c>
      <c r="E82" s="59">
        <v>18.4</v>
      </c>
      <c r="F82" s="78">
        <f>ROUND(D82*E82,0)</f>
        <v>147586</v>
      </c>
      <c r="G82" s="86"/>
      <c r="H82" s="84"/>
    </row>
    <row r="83" spans="1:8" s="91" customFormat="1" ht="12.75">
      <c r="A83" s="89"/>
      <c r="B83" s="90" t="s">
        <v>75</v>
      </c>
      <c r="C83" s="68"/>
      <c r="D83" s="68">
        <v>2283</v>
      </c>
      <c r="E83" s="59">
        <v>36.8</v>
      </c>
      <c r="F83" s="78">
        <f>ROUND(D83*E83,0)</f>
        <v>84014</v>
      </c>
      <c r="G83" s="86"/>
      <c r="H83" s="84"/>
    </row>
    <row r="84" spans="1:8" s="91" customFormat="1" ht="12.75">
      <c r="A84" s="89"/>
      <c r="B84" s="90" t="s">
        <v>76</v>
      </c>
      <c r="C84" s="68"/>
      <c r="D84" s="68">
        <v>34</v>
      </c>
      <c r="E84" s="59">
        <v>184</v>
      </c>
      <c r="F84" s="79">
        <f>ROUND(D84*E84,0)</f>
        <v>6256</v>
      </c>
      <c r="G84" s="86"/>
      <c r="H84" s="84"/>
    </row>
    <row r="85" spans="1:8" ht="12.75">
      <c r="A85" s="33"/>
      <c r="B85" s="2" t="s">
        <v>77</v>
      </c>
      <c r="F85" s="78">
        <f>SUM(F82:F84)</f>
        <v>237856</v>
      </c>
      <c r="G85" s="22"/>
      <c r="H85" s="23"/>
    </row>
    <row r="86" spans="1:8" ht="12.75">
      <c r="A86" s="33"/>
      <c r="B86" s="2" t="s">
        <v>78</v>
      </c>
      <c r="F86" s="78"/>
      <c r="G86" s="22"/>
      <c r="H86" s="23"/>
    </row>
    <row r="87" spans="1:8" ht="12.75">
      <c r="A87" s="33"/>
      <c r="B87" s="2" t="s">
        <v>79</v>
      </c>
      <c r="G87" s="22"/>
      <c r="H87" s="23"/>
    </row>
    <row r="88" spans="1:8" ht="12.75">
      <c r="A88" s="33"/>
      <c r="B88" s="2" t="s">
        <v>80</v>
      </c>
      <c r="D88" s="92">
        <f>2700+215</f>
        <v>2915</v>
      </c>
      <c r="E88" s="93">
        <f>143+16.25</f>
        <v>159.25</v>
      </c>
      <c r="F88" s="94">
        <f>ROUND(D88*E88,0)</f>
        <v>464214</v>
      </c>
      <c r="G88" s="22"/>
      <c r="H88" s="23"/>
    </row>
    <row r="89" spans="1:8" ht="12.75">
      <c r="A89" s="33"/>
      <c r="B89" s="2" t="s">
        <v>81</v>
      </c>
      <c r="D89" s="95"/>
      <c r="E89" s="96"/>
      <c r="F89" s="80">
        <f>SUM(F85:F88)</f>
        <v>702070</v>
      </c>
      <c r="G89" s="22"/>
      <c r="H89" s="23"/>
    </row>
    <row r="90" spans="1:8" ht="12.75">
      <c r="A90" s="33"/>
      <c r="B90" s="2" t="s">
        <v>82</v>
      </c>
      <c r="D90" s="95"/>
      <c r="E90" s="96"/>
      <c r="G90" s="22"/>
      <c r="H90" s="23"/>
    </row>
    <row r="91" spans="1:8" ht="12.75">
      <c r="A91" s="33"/>
      <c r="B91" s="2" t="s">
        <v>42</v>
      </c>
      <c r="D91" s="95"/>
      <c r="E91" s="96"/>
      <c r="G91" s="22"/>
      <c r="H91" s="23"/>
    </row>
    <row r="92" spans="1:8" ht="12.75">
      <c r="A92" s="33"/>
      <c r="B92" s="2" t="s">
        <v>60</v>
      </c>
      <c r="F92" s="83">
        <f>$G$13</f>
        <v>0.8967</v>
      </c>
      <c r="G92" s="97">
        <f>ROUND($F$89*$F92,0)</f>
        <v>629546</v>
      </c>
      <c r="H92" s="23"/>
    </row>
    <row r="93" spans="1:8" ht="12.75">
      <c r="A93" s="33"/>
      <c r="B93" s="2" t="s">
        <v>61</v>
      </c>
      <c r="F93" s="83">
        <f>$H$19</f>
        <v>0.10329999999999995</v>
      </c>
      <c r="G93" s="22"/>
      <c r="H93" s="63">
        <f>F89-G92</f>
        <v>72524</v>
      </c>
    </row>
    <row r="94" spans="1:8" ht="18" customHeight="1">
      <c r="A94" s="20" t="s">
        <v>10</v>
      </c>
      <c r="B94" s="2" t="s">
        <v>83</v>
      </c>
      <c r="G94" s="22"/>
      <c r="H94" s="23"/>
    </row>
    <row r="95" spans="1:8" ht="12.75">
      <c r="A95" s="33"/>
      <c r="B95" s="2" t="s">
        <v>84</v>
      </c>
      <c r="G95" s="22"/>
      <c r="H95" s="23"/>
    </row>
    <row r="96" spans="1:8" ht="12.75">
      <c r="A96" s="33"/>
      <c r="B96" s="2" t="s">
        <v>85</v>
      </c>
      <c r="G96" s="22"/>
      <c r="H96" s="23"/>
    </row>
    <row r="97" spans="1:8" ht="12.75">
      <c r="A97" s="69"/>
      <c r="B97" s="71"/>
      <c r="C97" s="71"/>
      <c r="D97" s="98">
        <f>7400+295+55</f>
        <v>7750</v>
      </c>
      <c r="E97" s="99">
        <v>94.6</v>
      </c>
      <c r="F97" s="94"/>
      <c r="G97" s="100">
        <f>ROUND(D97*E97,0)</f>
        <v>733150</v>
      </c>
      <c r="H97" s="74"/>
    </row>
    <row r="98" spans="1:8" ht="18" customHeight="1">
      <c r="A98" s="20" t="s">
        <v>34</v>
      </c>
      <c r="B98" s="81" t="s">
        <v>86</v>
      </c>
      <c r="C98" s="81"/>
      <c r="D98" s="76"/>
      <c r="E98" s="101"/>
      <c r="F98" s="102"/>
      <c r="G98" s="103"/>
      <c r="H98" s="23"/>
    </row>
    <row r="99" spans="1:8" ht="12.75" customHeight="1">
      <c r="A99" s="20"/>
      <c r="B99" s="81" t="s">
        <v>87</v>
      </c>
      <c r="C99" s="81"/>
      <c r="D99" s="76">
        <v>300</v>
      </c>
      <c r="E99" s="101">
        <v>159.25</v>
      </c>
      <c r="F99" s="102">
        <f>ROUND(D99*E99,0)</f>
        <v>47775</v>
      </c>
      <c r="G99" s="103"/>
      <c r="H99" s="23"/>
    </row>
    <row r="100" spans="1:8" ht="12.75" customHeight="1">
      <c r="A100" s="33"/>
      <c r="B100" s="81" t="s">
        <v>88</v>
      </c>
      <c r="C100" s="81"/>
      <c r="D100" s="104">
        <v>590</v>
      </c>
      <c r="E100" s="105">
        <v>8.2</v>
      </c>
      <c r="F100" s="102">
        <f>ROUND(D100*E100,0)</f>
        <v>4838</v>
      </c>
      <c r="G100" s="103"/>
      <c r="H100" s="23"/>
    </row>
    <row r="101" spans="1:8" ht="12.75">
      <c r="A101" s="33"/>
      <c r="B101" s="81" t="s">
        <v>89</v>
      </c>
      <c r="C101" s="81"/>
      <c r="D101" s="76">
        <v>360</v>
      </c>
      <c r="E101" s="106">
        <v>34.2</v>
      </c>
      <c r="F101" s="102">
        <f>ROUND(D101*E101,0)</f>
        <v>12312</v>
      </c>
      <c r="G101" s="103"/>
      <c r="H101" s="23"/>
    </row>
    <row r="102" spans="1:8" ht="12.75">
      <c r="A102" s="33"/>
      <c r="B102" s="81" t="s">
        <v>90</v>
      </c>
      <c r="C102" s="81"/>
      <c r="D102" s="76">
        <v>70</v>
      </c>
      <c r="E102" s="106">
        <v>99.15</v>
      </c>
      <c r="F102" s="107">
        <f>ROUND(D102*E102,0)</f>
        <v>6941</v>
      </c>
      <c r="G102" s="108"/>
      <c r="H102" s="23"/>
    </row>
    <row r="103" spans="1:8" ht="12.75">
      <c r="A103" s="33"/>
      <c r="B103" s="81" t="s">
        <v>91</v>
      </c>
      <c r="C103" s="81"/>
      <c r="D103" s="76">
        <v>40</v>
      </c>
      <c r="E103" s="106">
        <v>87.9</v>
      </c>
      <c r="F103" s="107">
        <f>ROUND(D103*E103,0)</f>
        <v>3516</v>
      </c>
      <c r="G103" s="108"/>
      <c r="H103" s="23"/>
    </row>
    <row r="104" spans="1:8" ht="12.75">
      <c r="A104" s="33"/>
      <c r="B104" s="81" t="s">
        <v>92</v>
      </c>
      <c r="C104" s="81"/>
      <c r="D104" s="76"/>
      <c r="E104" s="106"/>
      <c r="F104" s="107"/>
      <c r="G104" s="108"/>
      <c r="H104" s="23"/>
    </row>
    <row r="105" spans="1:8" ht="12.75">
      <c r="A105" s="33"/>
      <c r="B105" s="2" t="s">
        <v>93</v>
      </c>
      <c r="C105" s="81"/>
      <c r="D105" s="76"/>
      <c r="E105" s="106"/>
      <c r="F105" s="107"/>
      <c r="G105" s="108"/>
      <c r="H105" s="23"/>
    </row>
    <row r="106" spans="1:8" ht="12.75">
      <c r="A106" s="33"/>
      <c r="B106" s="81" t="s">
        <v>94</v>
      </c>
      <c r="C106" s="81"/>
      <c r="D106" s="76"/>
      <c r="E106" s="106"/>
      <c r="F106" s="107">
        <v>25000</v>
      </c>
      <c r="G106" s="108"/>
      <c r="H106" s="23"/>
    </row>
    <row r="107" spans="1:8" ht="12.75">
      <c r="A107" s="33"/>
      <c r="B107" s="2" t="s">
        <v>56</v>
      </c>
      <c r="C107" s="81"/>
      <c r="D107" s="76"/>
      <c r="E107" s="106"/>
      <c r="F107" s="107"/>
      <c r="G107" s="108"/>
      <c r="H107" s="23"/>
    </row>
    <row r="108" spans="1:8" ht="12.75">
      <c r="A108" s="33"/>
      <c r="B108" s="2" t="s">
        <v>57</v>
      </c>
      <c r="C108" s="81"/>
      <c r="D108" s="76"/>
      <c r="E108" s="106"/>
      <c r="F108" s="107"/>
      <c r="G108" s="108"/>
      <c r="H108" s="23"/>
    </row>
    <row r="109" spans="1:8" ht="12.75">
      <c r="A109" s="33"/>
      <c r="B109" s="2" t="s">
        <v>95</v>
      </c>
      <c r="C109" s="81"/>
      <c r="D109" s="76">
        <v>7</v>
      </c>
      <c r="E109" s="106">
        <v>71.18</v>
      </c>
      <c r="F109" s="107">
        <f>ROUND(D109*E109,0)</f>
        <v>498</v>
      </c>
      <c r="G109" s="108"/>
      <c r="H109" s="23"/>
    </row>
    <row r="110" spans="1:8" ht="12.75">
      <c r="A110" s="33"/>
      <c r="B110" s="81" t="s">
        <v>96</v>
      </c>
      <c r="C110" s="81"/>
      <c r="D110" s="76">
        <v>34</v>
      </c>
      <c r="E110" s="106">
        <v>69.6</v>
      </c>
      <c r="F110" s="109">
        <f>ROUND(D110*E110,0)</f>
        <v>2366</v>
      </c>
      <c r="G110" s="103"/>
      <c r="H110" s="23"/>
    </row>
    <row r="111" spans="1:8" ht="12.75">
      <c r="A111" s="33"/>
      <c r="B111" s="81"/>
      <c r="C111" s="81"/>
      <c r="D111" s="110"/>
      <c r="E111" s="111"/>
      <c r="F111" s="102">
        <f>SUM(F99:F110)</f>
        <v>103246</v>
      </c>
      <c r="G111" s="103"/>
      <c r="H111" s="23"/>
    </row>
    <row r="112" spans="1:8" ht="12.75">
      <c r="A112" s="33"/>
      <c r="B112" s="2" t="s">
        <v>97</v>
      </c>
      <c r="D112" s="95"/>
      <c r="E112" s="96"/>
      <c r="G112" s="22"/>
      <c r="H112" s="23"/>
    </row>
    <row r="113" spans="1:8" ht="12.75">
      <c r="A113" s="33"/>
      <c r="B113" s="2" t="s">
        <v>42</v>
      </c>
      <c r="D113" s="95"/>
      <c r="E113" s="96"/>
      <c r="G113" s="22"/>
      <c r="H113" s="23"/>
    </row>
    <row r="114" spans="1:8" ht="12.75">
      <c r="A114" s="33"/>
      <c r="B114" s="2" t="s">
        <v>60</v>
      </c>
      <c r="F114" s="83">
        <f>$G$13</f>
        <v>0.8967</v>
      </c>
      <c r="G114" s="97">
        <f>ROUND($F$111*$F114,0)</f>
        <v>92581</v>
      </c>
      <c r="H114" s="63"/>
    </row>
    <row r="115" spans="1:8" ht="12.75">
      <c r="A115" s="33"/>
      <c r="B115" s="2" t="s">
        <v>61</v>
      </c>
      <c r="F115" s="83">
        <f>$H$19</f>
        <v>0.10329999999999995</v>
      </c>
      <c r="G115" s="97"/>
      <c r="H115" s="63">
        <f>F111-G114</f>
        <v>10665</v>
      </c>
    </row>
    <row r="116" spans="1:8" ht="18" customHeight="1">
      <c r="A116" s="33"/>
      <c r="B116" s="2" t="s">
        <v>98</v>
      </c>
      <c r="D116" s="95"/>
      <c r="E116" s="96"/>
      <c r="G116" s="97"/>
      <c r="H116" s="63"/>
    </row>
    <row r="117" spans="1:8" ht="12.75">
      <c r="A117" s="33"/>
      <c r="B117" s="2" t="s">
        <v>99</v>
      </c>
      <c r="D117" s="95"/>
      <c r="E117" s="96"/>
      <c r="G117" s="97"/>
      <c r="H117" s="63"/>
    </row>
    <row r="118" spans="1:8" ht="12.75">
      <c r="A118" s="33"/>
      <c r="B118" s="2" t="s">
        <v>100</v>
      </c>
      <c r="D118" s="95"/>
      <c r="E118" s="96"/>
      <c r="G118" s="112">
        <f>3132+16600+48720</f>
        <v>68452</v>
      </c>
      <c r="H118" s="87"/>
    </row>
    <row r="119" spans="1:8" ht="12.75">
      <c r="A119" s="20"/>
      <c r="B119" s="81" t="s">
        <v>101</v>
      </c>
      <c r="C119" s="81"/>
      <c r="D119" s="110"/>
      <c r="E119" s="111"/>
      <c r="F119" s="81"/>
      <c r="G119" s="113"/>
      <c r="H119" s="87">
        <f>6264+1844</f>
        <v>8108</v>
      </c>
    </row>
    <row r="120" spans="1:8" s="17" customFormat="1" ht="21" customHeight="1">
      <c r="A120" s="114" t="s">
        <v>102</v>
      </c>
      <c r="B120" s="88" t="s">
        <v>103</v>
      </c>
      <c r="C120" s="88"/>
      <c r="D120" s="88"/>
      <c r="E120" s="88"/>
      <c r="F120" s="88"/>
      <c r="G120" s="37"/>
      <c r="H120" s="38"/>
    </row>
    <row r="121" spans="1:8" ht="12.75">
      <c r="A121" s="33"/>
      <c r="B121" s="2" t="s">
        <v>104</v>
      </c>
      <c r="G121" s="22"/>
      <c r="H121" s="23"/>
    </row>
    <row r="122" spans="1:8" ht="12.75">
      <c r="A122" s="33"/>
      <c r="B122" s="2" t="s">
        <v>105</v>
      </c>
      <c r="G122" s="22"/>
      <c r="H122" s="23"/>
    </row>
    <row r="123" spans="1:8" ht="18" customHeight="1">
      <c r="A123" s="33"/>
      <c r="B123" s="2" t="s">
        <v>106</v>
      </c>
      <c r="E123" s="78">
        <f>37420+26780</f>
        <v>64200</v>
      </c>
      <c r="G123" s="22"/>
      <c r="H123" s="23"/>
    </row>
    <row r="124" spans="1:8" ht="12.75">
      <c r="A124" s="33"/>
      <c r="B124" s="2" t="s">
        <v>107</v>
      </c>
      <c r="E124" s="78">
        <v>9630</v>
      </c>
      <c r="G124" s="22"/>
      <c r="H124" s="23"/>
    </row>
    <row r="125" spans="1:8" ht="12.75">
      <c r="A125" s="33"/>
      <c r="B125" s="2" t="s">
        <v>108</v>
      </c>
      <c r="E125" s="78">
        <v>7020</v>
      </c>
      <c r="G125" s="22"/>
      <c r="H125" s="23"/>
    </row>
    <row r="126" spans="1:8" ht="12.75">
      <c r="A126" s="33"/>
      <c r="B126" s="2" t="s">
        <v>109</v>
      </c>
      <c r="E126" s="78">
        <v>4000</v>
      </c>
      <c r="G126" s="22"/>
      <c r="H126" s="23"/>
    </row>
    <row r="127" spans="1:8" ht="12.75">
      <c r="A127" s="33"/>
      <c r="B127" s="2" t="s">
        <v>110</v>
      </c>
      <c r="E127" s="78">
        <v>1000</v>
      </c>
      <c r="G127" s="22"/>
      <c r="H127" s="23"/>
    </row>
    <row r="128" spans="1:8" ht="12.75">
      <c r="A128" s="33"/>
      <c r="B128" s="2" t="s">
        <v>111</v>
      </c>
      <c r="E128" s="115">
        <v>13250</v>
      </c>
      <c r="G128" s="22"/>
      <c r="H128" s="23"/>
    </row>
    <row r="129" spans="1:8" ht="12.75">
      <c r="A129" s="33"/>
      <c r="B129" s="2" t="s">
        <v>112</v>
      </c>
      <c r="E129" s="115">
        <v>1000</v>
      </c>
      <c r="G129" s="22"/>
      <c r="H129" s="23"/>
    </row>
    <row r="130" spans="1:8" ht="12.75">
      <c r="A130" s="33"/>
      <c r="B130" s="2" t="s">
        <v>113</v>
      </c>
      <c r="E130" s="79">
        <v>500</v>
      </c>
      <c r="G130" s="22"/>
      <c r="H130" s="23"/>
    </row>
    <row r="131" spans="1:8" ht="12.75">
      <c r="A131" s="33"/>
      <c r="E131" s="80">
        <f>SUM(E123:E130)</f>
        <v>100600</v>
      </c>
      <c r="G131" s="22"/>
      <c r="H131" s="23"/>
    </row>
    <row r="132" spans="1:8" ht="18" customHeight="1">
      <c r="A132" s="33"/>
      <c r="B132" s="2" t="s">
        <v>60</v>
      </c>
      <c r="E132" s="35">
        <f>$B$12</f>
        <v>9493</v>
      </c>
      <c r="F132" s="65">
        <f>ROUND(E132/($E$132+$E$133),4)</f>
        <v>0.9082</v>
      </c>
      <c r="G132" s="97">
        <f>ROUND(E131*F132,0)</f>
        <v>91365</v>
      </c>
      <c r="H132" s="63"/>
    </row>
    <row r="133" spans="1:8" ht="12.75">
      <c r="A133" s="33"/>
      <c r="B133" s="2" t="s">
        <v>61</v>
      </c>
      <c r="E133" s="35">
        <f>$B$18</f>
        <v>960</v>
      </c>
      <c r="F133" s="65">
        <f>1-F132</f>
        <v>0.09179999999999999</v>
      </c>
      <c r="G133" s="97"/>
      <c r="H133" s="63">
        <f>E131-G132</f>
        <v>9235</v>
      </c>
    </row>
    <row r="134" spans="1:8" ht="12.75">
      <c r="A134" s="33"/>
      <c r="E134" s="35"/>
      <c r="F134" s="65"/>
      <c r="G134" s="97"/>
      <c r="H134" s="63"/>
    </row>
    <row r="135" spans="1:8" s="17" customFormat="1" ht="21" customHeight="1" thickBot="1">
      <c r="A135" s="16" t="s">
        <v>114</v>
      </c>
      <c r="B135" s="88" t="s">
        <v>115</v>
      </c>
      <c r="C135" s="88"/>
      <c r="D135" s="88"/>
      <c r="E135" s="88"/>
      <c r="F135" s="88"/>
      <c r="G135" s="116">
        <f>SUM(G31:G133)</f>
        <v>2291939</v>
      </c>
      <c r="H135" s="117">
        <f>SUM(H31:H133)</f>
        <v>140799</v>
      </c>
    </row>
    <row r="136" spans="1:8" s="17" customFormat="1" ht="12.75" customHeight="1" thickTop="1">
      <c r="A136" s="16"/>
      <c r="B136" s="88"/>
      <c r="C136" s="88"/>
      <c r="D136" s="88"/>
      <c r="E136" s="88"/>
      <c r="F136" s="88"/>
      <c r="G136" s="118"/>
      <c r="H136" s="119"/>
    </row>
    <row r="137" spans="1:8" s="17" customFormat="1" ht="21" customHeight="1">
      <c r="A137" s="16" t="s">
        <v>116</v>
      </c>
      <c r="B137" s="17" t="s">
        <v>117</v>
      </c>
      <c r="G137" s="37"/>
      <c r="H137" s="38"/>
    </row>
    <row r="138" spans="1:8" ht="12.75">
      <c r="A138" s="33"/>
      <c r="B138" s="2" t="s">
        <v>118</v>
      </c>
      <c r="G138" s="22"/>
      <c r="H138" s="23"/>
    </row>
    <row r="139" spans="1:8" ht="12.75">
      <c r="A139" s="33"/>
      <c r="B139" s="2" t="s">
        <v>119</v>
      </c>
      <c r="F139" s="78">
        <v>25000</v>
      </c>
      <c r="G139" s="22"/>
      <c r="H139" s="23"/>
    </row>
    <row r="140" spans="1:8" ht="12.75">
      <c r="A140" s="33"/>
      <c r="B140" s="2" t="s">
        <v>120</v>
      </c>
      <c r="F140" s="78">
        <f>ROUND(25000/1.95583,0)</f>
        <v>12782</v>
      </c>
      <c r="G140" s="22"/>
      <c r="H140" s="23"/>
    </row>
    <row r="141" spans="1:8" ht="12.75">
      <c r="A141" s="33"/>
      <c r="B141" s="2" t="s">
        <v>121</v>
      </c>
      <c r="F141" s="120">
        <v>1400</v>
      </c>
      <c r="G141" s="22"/>
      <c r="H141" s="23"/>
    </row>
    <row r="142" spans="1:8" ht="12.75">
      <c r="A142" s="33"/>
      <c r="F142" s="80">
        <f>SUM(F139:F141)</f>
        <v>39182</v>
      </c>
      <c r="G142" s="22"/>
      <c r="H142" s="23"/>
    </row>
    <row r="143" spans="1:8" ht="12.75">
      <c r="A143" s="33"/>
      <c r="B143" s="2" t="s">
        <v>122</v>
      </c>
      <c r="E143" s="91"/>
      <c r="G143" s="22"/>
      <c r="H143" s="23"/>
    </row>
    <row r="144" spans="1:8" ht="12.75">
      <c r="A144" s="33"/>
      <c r="B144" s="2" t="s">
        <v>123</v>
      </c>
      <c r="G144" s="22"/>
      <c r="H144" s="23"/>
    </row>
    <row r="145" spans="1:8" ht="18" customHeight="1">
      <c r="A145" s="33"/>
      <c r="B145" s="2" t="s">
        <v>124</v>
      </c>
      <c r="D145" s="121"/>
      <c r="F145" s="83">
        <f>ROUND(G135/($G$135+$H$135),4)</f>
        <v>0.9421</v>
      </c>
      <c r="G145" s="97">
        <f>-ROUND($F$142*F145,0)</f>
        <v>-36913</v>
      </c>
      <c r="H145" s="63"/>
    </row>
    <row r="146" spans="1:8" ht="12.75">
      <c r="A146" s="33"/>
      <c r="B146" s="2" t="s">
        <v>125</v>
      </c>
      <c r="F146" s="83">
        <f>1-F145</f>
        <v>0.05789999999999995</v>
      </c>
      <c r="G146" s="100"/>
      <c r="H146" s="122">
        <f>-F142-G145</f>
        <v>-2269</v>
      </c>
    </row>
    <row r="147" spans="1:8" ht="21" customHeight="1">
      <c r="A147" s="69"/>
      <c r="B147" s="71" t="s">
        <v>126</v>
      </c>
      <c r="C147" s="71"/>
      <c r="D147" s="71"/>
      <c r="E147" s="71"/>
      <c r="F147" s="123"/>
      <c r="G147" s="100">
        <f>SUM(G135:G146)</f>
        <v>2255026</v>
      </c>
      <c r="H147" s="122">
        <f>SUM(H135:H146)</f>
        <v>138530</v>
      </c>
    </row>
    <row r="148" spans="1:8" ht="21" customHeight="1">
      <c r="A148" s="33"/>
      <c r="B148" s="2" t="s">
        <v>127</v>
      </c>
      <c r="F148" s="83"/>
      <c r="G148" s="97">
        <f>G147</f>
        <v>2255026</v>
      </c>
      <c r="H148" s="63">
        <f>H147</f>
        <v>138530</v>
      </c>
    </row>
    <row r="149" spans="1:8" ht="12.75">
      <c r="A149" s="33"/>
      <c r="F149" s="83"/>
      <c r="G149" s="97"/>
      <c r="H149" s="63"/>
    </row>
    <row r="150" spans="1:8" ht="21" customHeight="1">
      <c r="A150" s="16" t="s">
        <v>128</v>
      </c>
      <c r="B150" s="17" t="s">
        <v>129</v>
      </c>
      <c r="F150" s="83"/>
      <c r="G150" s="97"/>
      <c r="H150" s="63"/>
    </row>
    <row r="151" spans="1:8" ht="12.75">
      <c r="A151" s="33"/>
      <c r="B151" s="2" t="s">
        <v>130</v>
      </c>
      <c r="F151" s="83"/>
      <c r="G151" s="97"/>
      <c r="H151" s="63"/>
    </row>
    <row r="152" spans="1:8" ht="12.75">
      <c r="A152" s="33"/>
      <c r="F152" s="83"/>
      <c r="G152" s="97"/>
      <c r="H152" s="63"/>
    </row>
    <row r="153" spans="1:8" ht="12.75">
      <c r="A153" s="33"/>
      <c r="B153" s="2" t="s">
        <v>131</v>
      </c>
      <c r="F153" s="83"/>
      <c r="G153" s="97"/>
      <c r="H153" s="63"/>
    </row>
    <row r="154" spans="1:8" ht="12.75">
      <c r="A154" s="33"/>
      <c r="B154" s="2" t="s">
        <v>132</v>
      </c>
      <c r="F154" s="83"/>
      <c r="G154" s="97"/>
      <c r="H154" s="63"/>
    </row>
    <row r="155" spans="1:8" ht="12.75">
      <c r="A155" s="33"/>
      <c r="B155" s="2" t="s">
        <v>133</v>
      </c>
      <c r="F155" s="83"/>
      <c r="G155" s="97"/>
      <c r="H155" s="63"/>
    </row>
    <row r="156" spans="1:8" ht="12.75">
      <c r="A156" s="33"/>
      <c r="B156" s="2" t="s">
        <v>43</v>
      </c>
      <c r="D156" s="124">
        <f>ROUND(G147/($G$147+$H$147),4)</f>
        <v>0.9421</v>
      </c>
      <c r="E156" s="125" t="s">
        <v>134</v>
      </c>
      <c r="F156" s="126">
        <v>45908</v>
      </c>
      <c r="G156" s="97">
        <f>-(ROUND($F156*$D156,0))</f>
        <v>-43250</v>
      </c>
      <c r="H156" s="63"/>
    </row>
    <row r="157" spans="1:8" ht="12.75">
      <c r="A157" s="33"/>
      <c r="B157" s="2" t="s">
        <v>44</v>
      </c>
      <c r="D157" s="124">
        <f>1-D156</f>
        <v>0.05789999999999995</v>
      </c>
      <c r="E157" s="125" t="s">
        <v>134</v>
      </c>
      <c r="F157" s="127">
        <f>F156</f>
        <v>45908</v>
      </c>
      <c r="G157" s="97"/>
      <c r="H157" s="63">
        <f>-F156-G156</f>
        <v>-2658</v>
      </c>
    </row>
    <row r="158" spans="1:8" ht="12.75">
      <c r="A158" s="33"/>
      <c r="F158" s="83"/>
      <c r="G158" s="97"/>
      <c r="H158" s="63"/>
    </row>
    <row r="159" spans="1:8" s="17" customFormat="1" ht="21" customHeight="1">
      <c r="A159" s="16" t="s">
        <v>135</v>
      </c>
      <c r="B159" s="17" t="s">
        <v>136</v>
      </c>
      <c r="G159" s="37"/>
      <c r="H159" s="38"/>
    </row>
    <row r="160" spans="1:8" s="129" customFormat="1" ht="12.75">
      <c r="A160" s="128"/>
      <c r="B160" s="2" t="s">
        <v>137</v>
      </c>
      <c r="G160" s="130"/>
      <c r="H160" s="131"/>
    </row>
    <row r="161" spans="1:8" s="129" customFormat="1" ht="12.75">
      <c r="A161" s="128"/>
      <c r="B161" s="2" t="s">
        <v>138</v>
      </c>
      <c r="G161" s="130"/>
      <c r="H161" s="131"/>
    </row>
    <row r="162" spans="1:8" s="129" customFormat="1" ht="12.75">
      <c r="A162" s="128"/>
      <c r="B162" s="2" t="s">
        <v>139</v>
      </c>
      <c r="G162" s="130"/>
      <c r="H162" s="131"/>
    </row>
    <row r="163" spans="1:8" ht="12.75" customHeight="1">
      <c r="A163" s="33"/>
      <c r="B163" s="132">
        <v>240</v>
      </c>
      <c r="C163" s="133" t="s">
        <v>140</v>
      </c>
      <c r="D163" s="115">
        <v>41</v>
      </c>
      <c r="E163" s="134" t="s">
        <v>141</v>
      </c>
      <c r="F163" s="102"/>
      <c r="G163" s="97">
        <f>ROUND(B163*D163,0)</f>
        <v>9840</v>
      </c>
      <c r="H163" s="23"/>
    </row>
    <row r="164" spans="1:8" ht="12.75" customHeight="1">
      <c r="A164" s="33"/>
      <c r="B164" s="132"/>
      <c r="C164" s="133"/>
      <c r="D164" s="115"/>
      <c r="E164" s="134"/>
      <c r="F164" s="102"/>
      <c r="G164" s="97"/>
      <c r="H164" s="23"/>
    </row>
    <row r="165" spans="1:8" s="17" customFormat="1" ht="21" customHeight="1">
      <c r="A165" s="16" t="s">
        <v>142</v>
      </c>
      <c r="B165" s="17" t="s">
        <v>143</v>
      </c>
      <c r="E165" s="135"/>
      <c r="F165" s="135"/>
      <c r="G165" s="118"/>
      <c r="H165" s="38"/>
    </row>
    <row r="166" spans="1:8" ht="12.75">
      <c r="A166" s="33"/>
      <c r="B166" s="2" t="s">
        <v>144</v>
      </c>
      <c r="E166" s="78">
        <v>51</v>
      </c>
      <c r="F166" s="80"/>
      <c r="G166" s="97"/>
      <c r="H166" s="23"/>
    </row>
    <row r="167" spans="1:8" ht="12.75">
      <c r="A167" s="33"/>
      <c r="B167" s="2" t="s">
        <v>145</v>
      </c>
      <c r="G167" s="22"/>
      <c r="H167" s="23"/>
    </row>
    <row r="168" spans="1:8" ht="18" customHeight="1">
      <c r="A168" s="20" t="s">
        <v>9</v>
      </c>
      <c r="B168" s="2" t="s">
        <v>146</v>
      </c>
      <c r="G168" s="22"/>
      <c r="H168" s="23"/>
    </row>
    <row r="169" spans="1:8" ht="12.75">
      <c r="A169" s="20"/>
      <c r="B169" s="35">
        <f>$B$12</f>
        <v>9493</v>
      </c>
      <c r="C169" s="125" t="s">
        <v>140</v>
      </c>
      <c r="D169" s="80">
        <f>$E$166</f>
        <v>51</v>
      </c>
      <c r="E169" s="136" t="s">
        <v>141</v>
      </c>
      <c r="F169" s="80"/>
      <c r="G169" s="97">
        <f>-ROUND(B169*D169,0)</f>
        <v>-484143</v>
      </c>
      <c r="H169" s="63"/>
    </row>
    <row r="170" spans="1:8" ht="18" customHeight="1">
      <c r="A170" s="20" t="s">
        <v>10</v>
      </c>
      <c r="B170" s="2" t="s">
        <v>147</v>
      </c>
      <c r="D170" s="80"/>
      <c r="E170" s="80"/>
      <c r="F170" s="80"/>
      <c r="G170" s="97"/>
      <c r="H170" s="63"/>
    </row>
    <row r="171" spans="1:8" ht="12.75">
      <c r="A171" s="33"/>
      <c r="B171" s="35">
        <f>$B$18</f>
        <v>960</v>
      </c>
      <c r="C171" s="125" t="s">
        <v>140</v>
      </c>
      <c r="D171" s="80">
        <f>$E$166</f>
        <v>51</v>
      </c>
      <c r="E171" s="136" t="s">
        <v>141</v>
      </c>
      <c r="F171" s="80"/>
      <c r="G171" s="137"/>
      <c r="H171" s="138">
        <f>-ROUND(B171*D171,0)</f>
        <v>-48960</v>
      </c>
    </row>
    <row r="172" spans="1:8" ht="12.75">
      <c r="A172" s="33"/>
      <c r="B172" s="35"/>
      <c r="C172" s="125"/>
      <c r="D172" s="80"/>
      <c r="E172" s="136"/>
      <c r="F172" s="80"/>
      <c r="G172" s="97"/>
      <c r="H172" s="63"/>
    </row>
    <row r="173" spans="1:8" s="17" customFormat="1" ht="21" customHeight="1" thickBot="1">
      <c r="A173" s="16" t="s">
        <v>148</v>
      </c>
      <c r="B173" s="17" t="s">
        <v>149</v>
      </c>
      <c r="D173" s="135"/>
      <c r="E173" s="135"/>
      <c r="F173" s="135"/>
      <c r="G173" s="116">
        <f>SUM(G147,G150:G171)</f>
        <v>1737473</v>
      </c>
      <c r="H173" s="117">
        <f>SUM(H147,H150:H171)</f>
        <v>86912</v>
      </c>
    </row>
    <row r="174" spans="1:8" s="17" customFormat="1" ht="12.75" customHeight="1" thickTop="1">
      <c r="A174" s="16"/>
      <c r="D174" s="135"/>
      <c r="E174" s="135"/>
      <c r="F174" s="135"/>
      <c r="G174" s="118"/>
      <c r="H174" s="119"/>
    </row>
    <row r="175" spans="1:8" ht="18" customHeight="1">
      <c r="A175" s="33"/>
      <c r="B175" s="2" t="s">
        <v>150</v>
      </c>
      <c r="G175" s="28">
        <f>$G$12</f>
        <v>17105400</v>
      </c>
      <c r="H175" s="29">
        <f>$H$18</f>
        <v>1970800</v>
      </c>
    </row>
    <row r="176" spans="1:8" ht="12.75" customHeight="1">
      <c r="A176" s="33"/>
      <c r="G176" s="28"/>
      <c r="H176" s="29"/>
    </row>
    <row r="177" spans="1:8" s="17" customFormat="1" ht="21" customHeight="1" thickBot="1">
      <c r="A177" s="139" t="s">
        <v>151</v>
      </c>
      <c r="B177" s="140" t="s">
        <v>152</v>
      </c>
      <c r="C177" s="140"/>
      <c r="D177" s="140"/>
      <c r="E177" s="140"/>
      <c r="F177" s="140"/>
      <c r="G177" s="141">
        <f>ROUND(G173/G175,4)</f>
        <v>0.1016</v>
      </c>
      <c r="H177" s="142">
        <f>ROUND(H173/H175,4)</f>
        <v>0.0441</v>
      </c>
    </row>
    <row r="178" spans="1:8" s="17" customFormat="1" ht="51.75" customHeight="1" thickTop="1">
      <c r="A178" s="143" t="s">
        <v>153</v>
      </c>
      <c r="B178" s="17" t="s">
        <v>154</v>
      </c>
      <c r="F178" s="144" t="s">
        <v>155</v>
      </c>
      <c r="G178" s="145" t="s">
        <v>156</v>
      </c>
      <c r="H178" s="146"/>
    </row>
    <row r="179" spans="1:8" ht="18" customHeight="1">
      <c r="A179" s="121" t="s">
        <v>9</v>
      </c>
      <c r="B179" s="2" t="s">
        <v>64</v>
      </c>
      <c r="G179" s="81"/>
      <c r="H179" s="81"/>
    </row>
    <row r="180" spans="2:8" ht="18" customHeight="1">
      <c r="B180" s="147">
        <v>80</v>
      </c>
      <c r="C180" s="148" t="s">
        <v>140</v>
      </c>
      <c r="D180" s="149">
        <f>$G$177</f>
        <v>0.1016</v>
      </c>
      <c r="E180" s="27">
        <f>E7</f>
        <v>13</v>
      </c>
      <c r="F180" s="150">
        <f>ROUND(B180*D180*E180,2)</f>
        <v>105.66</v>
      </c>
      <c r="G180" s="151">
        <f>$E$166</f>
        <v>51</v>
      </c>
      <c r="H180" s="152">
        <f>SUM(F180:G180)</f>
        <v>156.66</v>
      </c>
    </row>
    <row r="181" spans="2:8" ht="18" customHeight="1">
      <c r="B181" s="147">
        <v>120</v>
      </c>
      <c r="C181" s="148" t="s">
        <v>140</v>
      </c>
      <c r="D181" s="149">
        <f>$G$177</f>
        <v>0.1016</v>
      </c>
      <c r="E181" s="27">
        <f>E8</f>
        <v>13</v>
      </c>
      <c r="F181" s="150">
        <f>ROUND(B181*D181*E181,2)</f>
        <v>158.5</v>
      </c>
      <c r="G181" s="151">
        <f>$E$166</f>
        <v>51</v>
      </c>
      <c r="H181" s="152">
        <f>SUM(F181:G181)</f>
        <v>209.5</v>
      </c>
    </row>
    <row r="182" spans="2:8" ht="18" customHeight="1">
      <c r="B182" s="147">
        <v>240</v>
      </c>
      <c r="C182" s="148" t="s">
        <v>140</v>
      </c>
      <c r="D182" s="149">
        <f>$G$177</f>
        <v>0.1016</v>
      </c>
      <c r="E182" s="27">
        <f>E9</f>
        <v>13</v>
      </c>
      <c r="F182" s="150">
        <f>ROUND(B182*D182*E182,2)</f>
        <v>316.99</v>
      </c>
      <c r="G182" s="151">
        <f>$E$166</f>
        <v>51</v>
      </c>
      <c r="H182" s="152">
        <f>SUM(F182:G182)</f>
        <v>367.99</v>
      </c>
    </row>
    <row r="183" spans="2:8" ht="18" customHeight="1">
      <c r="B183" s="147">
        <v>1100</v>
      </c>
      <c r="C183" s="148" t="s">
        <v>140</v>
      </c>
      <c r="D183" s="149">
        <f>$G$177</f>
        <v>0.1016</v>
      </c>
      <c r="E183" s="27">
        <f>E10</f>
        <v>26</v>
      </c>
      <c r="F183" s="150">
        <f>ROUND(B183*D183*E183,2)</f>
        <v>2905.76</v>
      </c>
      <c r="G183" s="151">
        <f>$E$166</f>
        <v>51</v>
      </c>
      <c r="H183" s="152">
        <f>SUM(F183:G183)</f>
        <v>2956.76</v>
      </c>
    </row>
    <row r="184" spans="2:8" ht="18" customHeight="1">
      <c r="B184" s="147">
        <v>1100</v>
      </c>
      <c r="C184" s="148" t="s">
        <v>140</v>
      </c>
      <c r="D184" s="149">
        <f>$G$177</f>
        <v>0.1016</v>
      </c>
      <c r="E184" s="27">
        <f>E11</f>
        <v>52</v>
      </c>
      <c r="F184" s="150">
        <f>ROUND(B184*D184*E184,2)</f>
        <v>5811.52</v>
      </c>
      <c r="G184" s="151">
        <f>$E$166</f>
        <v>51</v>
      </c>
      <c r="H184" s="152">
        <f>SUM(F184:G184)</f>
        <v>5862.52</v>
      </c>
    </row>
    <row r="185" spans="1:8" ht="18" customHeight="1">
      <c r="A185" s="121" t="s">
        <v>10</v>
      </c>
      <c r="B185" s="153" t="s">
        <v>101</v>
      </c>
      <c r="D185" s="149"/>
      <c r="F185" s="150"/>
      <c r="G185" s="151"/>
      <c r="H185" s="152"/>
    </row>
    <row r="186" spans="2:8" ht="18" customHeight="1">
      <c r="B186" s="147">
        <v>80</v>
      </c>
      <c r="C186" s="148" t="s">
        <v>140</v>
      </c>
      <c r="D186" s="149">
        <f>$H$177</f>
        <v>0.0441</v>
      </c>
      <c r="E186" s="27">
        <f>E15</f>
        <v>13</v>
      </c>
      <c r="F186" s="150">
        <f>ROUND(B186*D186*E186,2)</f>
        <v>45.86</v>
      </c>
      <c r="G186" s="151">
        <f>$E$166</f>
        <v>51</v>
      </c>
      <c r="H186" s="152">
        <f>SUM(F186:G186)</f>
        <v>96.86</v>
      </c>
    </row>
    <row r="187" spans="2:8" ht="18" customHeight="1">
      <c r="B187" s="147">
        <v>120</v>
      </c>
      <c r="C187" s="148" t="s">
        <v>140</v>
      </c>
      <c r="D187" s="149">
        <f>$H$177</f>
        <v>0.0441</v>
      </c>
      <c r="E187" s="27">
        <f>E16</f>
        <v>13</v>
      </c>
      <c r="F187" s="150">
        <f>ROUND(B187*D187*E187,2)</f>
        <v>68.8</v>
      </c>
      <c r="G187" s="151">
        <f>$E$166</f>
        <v>51</v>
      </c>
      <c r="H187" s="152">
        <f>SUM(F187:G187)</f>
        <v>119.8</v>
      </c>
    </row>
    <row r="188" spans="2:8" ht="18" customHeight="1">
      <c r="B188" s="147">
        <v>240</v>
      </c>
      <c r="C188" s="148" t="s">
        <v>140</v>
      </c>
      <c r="D188" s="149">
        <f>$H$177</f>
        <v>0.0441</v>
      </c>
      <c r="E188" s="27">
        <f>E17</f>
        <v>13</v>
      </c>
      <c r="F188" s="150">
        <f>ROUND(B188*D188*E188,2)</f>
        <v>137.59</v>
      </c>
      <c r="G188" s="151">
        <f>$E$166</f>
        <v>51</v>
      </c>
      <c r="H188" s="152">
        <f>SUM(F188:G188)</f>
        <v>188.59</v>
      </c>
    </row>
    <row r="189" spans="2:8" ht="15" customHeight="1" thickBot="1">
      <c r="B189" s="147"/>
      <c r="C189" s="148"/>
      <c r="D189" s="154"/>
      <c r="E189" s="27"/>
      <c r="F189" s="155"/>
      <c r="G189" s="156"/>
      <c r="H189" s="157"/>
    </row>
    <row r="190" spans="1:8" s="17" customFormat="1" ht="15.75">
      <c r="A190" s="143" t="s">
        <v>151</v>
      </c>
      <c r="B190" s="17" t="s">
        <v>157</v>
      </c>
      <c r="G190" s="158">
        <v>2003</v>
      </c>
      <c r="H190" s="159">
        <v>2002</v>
      </c>
    </row>
    <row r="191" spans="1:8" s="7" customFormat="1" ht="18" customHeight="1">
      <c r="A191" s="160" t="s">
        <v>9</v>
      </c>
      <c r="B191" s="161" t="s">
        <v>171</v>
      </c>
      <c r="C191" s="161"/>
      <c r="D191" s="161"/>
      <c r="E191" s="161"/>
      <c r="F191" s="161"/>
      <c r="G191" s="162"/>
      <c r="H191" s="159"/>
    </row>
    <row r="192" spans="1:8" s="7" customFormat="1" ht="18" customHeight="1">
      <c r="A192" s="161"/>
      <c r="B192" s="163" t="s">
        <v>158</v>
      </c>
      <c r="C192" s="161" t="s">
        <v>159</v>
      </c>
      <c r="D192" s="161"/>
      <c r="E192" s="161"/>
      <c r="F192" s="161"/>
      <c r="G192" s="164">
        <f>ROUND(H180,0)</f>
        <v>157</v>
      </c>
      <c r="H192" s="165">
        <v>159</v>
      </c>
    </row>
    <row r="193" spans="1:8" s="7" customFormat="1" ht="18" customHeight="1">
      <c r="A193" s="161"/>
      <c r="B193" s="163" t="s">
        <v>158</v>
      </c>
      <c r="C193" s="161" t="s">
        <v>160</v>
      </c>
      <c r="D193" s="161"/>
      <c r="E193" s="161"/>
      <c r="F193" s="161"/>
      <c r="G193" s="164">
        <f>ROUND(H181,0)</f>
        <v>210</v>
      </c>
      <c r="H193" s="165">
        <v>212</v>
      </c>
    </row>
    <row r="194" spans="1:8" s="7" customFormat="1" ht="18" customHeight="1">
      <c r="A194" s="161"/>
      <c r="B194" s="163" t="s">
        <v>158</v>
      </c>
      <c r="C194" s="161" t="s">
        <v>161</v>
      </c>
      <c r="D194" s="161"/>
      <c r="E194" s="161"/>
      <c r="F194" s="161"/>
      <c r="G194" s="164">
        <f>ROUND(H182,0)</f>
        <v>368</v>
      </c>
      <c r="H194" s="165">
        <v>374</v>
      </c>
    </row>
    <row r="195" spans="1:8" s="7" customFormat="1" ht="18" customHeight="1">
      <c r="A195" s="161"/>
      <c r="B195" s="163" t="s">
        <v>158</v>
      </c>
      <c r="C195" s="161" t="s">
        <v>162</v>
      </c>
      <c r="D195" s="161"/>
      <c r="E195" s="161"/>
      <c r="F195" s="161"/>
      <c r="G195" s="164">
        <f>ROUND(H183,0)</f>
        <v>2957</v>
      </c>
      <c r="H195" s="165">
        <v>3011</v>
      </c>
    </row>
    <row r="196" spans="1:8" s="7" customFormat="1" ht="18" customHeight="1">
      <c r="A196" s="161"/>
      <c r="B196" s="163" t="s">
        <v>158</v>
      </c>
      <c r="C196" s="161" t="s">
        <v>163</v>
      </c>
      <c r="D196" s="161"/>
      <c r="E196" s="161"/>
      <c r="F196" s="161"/>
      <c r="G196" s="164">
        <f>ROUND(H184,0)</f>
        <v>5863</v>
      </c>
      <c r="H196" s="165">
        <v>5971</v>
      </c>
    </row>
    <row r="197" spans="1:8" s="7" customFormat="1" ht="18" customHeight="1">
      <c r="A197" s="160" t="s">
        <v>10</v>
      </c>
      <c r="B197" s="161" t="s">
        <v>172</v>
      </c>
      <c r="C197" s="161"/>
      <c r="D197" s="161"/>
      <c r="E197" s="161"/>
      <c r="F197" s="161"/>
      <c r="G197" s="166"/>
      <c r="H197" s="167"/>
    </row>
    <row r="198" spans="1:8" s="7" customFormat="1" ht="18" customHeight="1">
      <c r="A198" s="161"/>
      <c r="B198" s="163" t="s">
        <v>158</v>
      </c>
      <c r="C198" s="161" t="s">
        <v>159</v>
      </c>
      <c r="D198" s="161"/>
      <c r="E198" s="161"/>
      <c r="F198" s="161"/>
      <c r="G198" s="164">
        <f>ROUND(H186,0)</f>
        <v>97</v>
      </c>
      <c r="H198" s="165">
        <v>98</v>
      </c>
    </row>
    <row r="199" spans="1:8" s="7" customFormat="1" ht="18" customHeight="1">
      <c r="A199" s="161"/>
      <c r="B199" s="163" t="s">
        <v>158</v>
      </c>
      <c r="C199" s="161" t="s">
        <v>160</v>
      </c>
      <c r="D199" s="161"/>
      <c r="E199" s="161"/>
      <c r="F199" s="161"/>
      <c r="G199" s="164">
        <f>ROUND(H187,0)</f>
        <v>120</v>
      </c>
      <c r="H199" s="165">
        <v>122</v>
      </c>
    </row>
    <row r="200" spans="1:8" s="7" customFormat="1" ht="18" customHeight="1" thickBot="1">
      <c r="A200" s="161"/>
      <c r="B200" s="163" t="s">
        <v>158</v>
      </c>
      <c r="C200" s="161" t="s">
        <v>161</v>
      </c>
      <c r="D200" s="161"/>
      <c r="E200" s="161"/>
      <c r="F200" s="161"/>
      <c r="G200" s="168">
        <f>ROUND(H188,0)</f>
        <v>189</v>
      </c>
      <c r="H200" s="165">
        <v>192</v>
      </c>
    </row>
    <row r="201" spans="1:8" s="7" customFormat="1" ht="15.75">
      <c r="A201" s="161"/>
      <c r="B201" s="169"/>
      <c r="C201" s="161"/>
      <c r="D201" s="161"/>
      <c r="E201" s="161"/>
      <c r="F201" s="161"/>
      <c r="G201" s="170"/>
      <c r="H201" s="171"/>
    </row>
    <row r="202" ht="34.5" customHeight="1">
      <c r="B202" s="2" t="s">
        <v>164</v>
      </c>
    </row>
    <row r="203" ht="12.75">
      <c r="B203" s="91" t="s">
        <v>165</v>
      </c>
    </row>
    <row r="204" ht="12.75">
      <c r="B204" s="2" t="s">
        <v>166</v>
      </c>
    </row>
    <row r="205" ht="12.75">
      <c r="B205" s="2" t="s">
        <v>167</v>
      </c>
    </row>
    <row r="206" ht="12.75">
      <c r="B206" s="2" t="s">
        <v>168</v>
      </c>
    </row>
    <row r="208" spans="1:2" ht="12.75">
      <c r="A208" s="2" t="s">
        <v>169</v>
      </c>
      <c r="B208" s="2" t="s">
        <v>170</v>
      </c>
    </row>
  </sheetData>
  <mergeCells count="1">
    <mergeCell ref="A1:H1"/>
  </mergeCells>
  <printOptions horizontalCentered="1"/>
  <pageMargins left="0.7874015748031497" right="0.3937007874015748" top="1.1811023622047245" bottom="0.9055118110236221" header="0.5118110236220472" footer="0.4330708661417323"/>
  <pageSetup orientation="portrait" paperSize="9" scale="90" r:id="rId4"/>
  <headerFooter alignWithMargins="0">
    <oddHeader>&amp;L&amp;"Arial,Standard"Stadt Coesfeld
Fachbereich 20 / Finanzen und Controlling&amp;R&amp;"Arial,Standard"Seite &amp;P+4</oddHeader>
    <oddFooter>&amp;R&amp;"Arial,Standard"&amp;8Datei: &amp;F
Register: &amp;A</oddFooter>
  </headerFooter>
  <rowBreaks count="4" manualBreakCount="4">
    <brk id="55" max="255" man="1"/>
    <brk id="97" max="255" man="1"/>
    <brk id="147" max="255" man="1"/>
    <brk id="17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inhestern</dc:creator>
  <cp:keywords/>
  <dc:description/>
  <cp:lastModifiedBy>inhestern</cp:lastModifiedBy>
  <cp:lastPrinted>2002-04-09T05:39:35Z</cp:lastPrinted>
  <dcterms:created xsi:type="dcterms:W3CDTF">2002-04-09T05:33:29Z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